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Przetargi do ogłoszenia\2021\ZP6 - nabiał\SWZ PONIŻEJ PROGÓW\"/>
    </mc:Choice>
  </mc:AlternateContent>
  <xr:revisionPtr revIDLastSave="0" documentId="13_ncr:1_{423951DE-9047-49B6-85A1-7636D5E1D077}" xr6:coauthVersionLast="46" xr6:coauthVersionMax="46" xr10:uidLastSave="{00000000-0000-0000-0000-000000000000}"/>
  <bookViews>
    <workbookView xWindow="-120" yWindow="-120" windowWidth="29040" windowHeight="15840" firstSheet="4" activeTab="4" xr2:uid="{00000000-000D-0000-FFFF-FFFF00000000}"/>
  </bookViews>
  <sheets>
    <sheet name=" warzywa całoroczne" sheetId="1" state="hidden" r:id="rId1"/>
    <sheet name="Nabiał Serkol" sheetId="2" state="hidden" r:id="rId2"/>
    <sheet name="formularz do przetargu 2019-202" sheetId="4" state="hidden" r:id="rId3"/>
    <sheet name="symulacja potrzeb nabiału" sheetId="3" state="hidden" r:id="rId4"/>
    <sheet name="do przetargu na 2021r" sheetId="6" r:id="rId5"/>
  </sheets>
  <definedNames>
    <definedName name="_xlnm._FilterDatabase" localSheetId="0" hidden="1">' warzywa całoroczne'!$C$2:$C$64</definedName>
    <definedName name="_xlnm._FilterDatabase" localSheetId="1" hidden="1">'Nabiał Serkol'!$A$1:$S$29</definedName>
    <definedName name="_xlnm.Print_Area" localSheetId="4">'do przetargu na 2021r'!$B$1:$K$29</definedName>
    <definedName name="_xlnm.Print_Area" localSheetId="2">'formularz do przetargu 2019-202'!$A$1:$K$26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I34" i="4" s="1"/>
  <c r="G5" i="4" l="1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4" i="4"/>
  <c r="C32" i="2"/>
  <c r="K6" i="2"/>
  <c r="Q6" i="2" s="1"/>
  <c r="D7" i="2"/>
  <c r="J7" i="2" s="1"/>
  <c r="S7" i="2" s="1"/>
  <c r="U29" i="2"/>
  <c r="V29" i="2" s="1"/>
  <c r="S19" i="3"/>
  <c r="T19" i="3" s="1"/>
  <c r="K27" i="2"/>
  <c r="N27" i="2" s="1"/>
  <c r="P27" i="2" s="1"/>
  <c r="K28" i="2"/>
  <c r="R24" i="2"/>
  <c r="P24" i="2" s="1"/>
  <c r="D19" i="2"/>
  <c r="J19" i="2" s="1"/>
  <c r="S19" i="2" s="1"/>
  <c r="J28" i="2"/>
  <c r="J24" i="2"/>
  <c r="S24" i="2" s="1"/>
  <c r="J25" i="2"/>
  <c r="S25" i="2" s="1"/>
  <c r="J26" i="2"/>
  <c r="S26" i="2" s="1"/>
  <c r="J27" i="2"/>
  <c r="I26" i="2"/>
  <c r="I27" i="2"/>
  <c r="J18" i="2"/>
  <c r="S18" i="2" s="1"/>
  <c r="J8" i="2"/>
  <c r="S8" i="2" s="1"/>
  <c r="J9" i="2"/>
  <c r="S9" i="2" s="1"/>
  <c r="J10" i="2"/>
  <c r="S10" i="2" s="1"/>
  <c r="J11" i="2"/>
  <c r="S11" i="2" s="1"/>
  <c r="J12" i="2"/>
  <c r="S12" i="2" s="1"/>
  <c r="J13" i="2"/>
  <c r="S13" i="2" s="1"/>
  <c r="J14" i="2"/>
  <c r="S14" i="2" s="1"/>
  <c r="J15" i="2"/>
  <c r="S15" i="2" s="1"/>
  <c r="J16" i="2"/>
  <c r="S16" i="2" s="1"/>
  <c r="J17" i="2"/>
  <c r="S17" i="2" s="1"/>
  <c r="J20" i="2"/>
  <c r="S20" i="2" s="1"/>
  <c r="J21" i="2"/>
  <c r="S21" i="2" s="1"/>
  <c r="J22" i="2"/>
  <c r="S22" i="2" s="1"/>
  <c r="J23" i="2"/>
  <c r="S23" i="2" s="1"/>
  <c r="J6" i="2"/>
  <c r="S6" i="2" s="1"/>
  <c r="S26" i="3"/>
  <c r="T26" i="3" s="1"/>
  <c r="I26" i="3"/>
  <c r="O26" i="3" s="1"/>
  <c r="S25" i="3"/>
  <c r="T25" i="3" s="1"/>
  <c r="I25" i="3"/>
  <c r="O25" i="3" s="1"/>
  <c r="H25" i="3"/>
  <c r="S24" i="3"/>
  <c r="T24" i="3" s="1"/>
  <c r="I24" i="3"/>
  <c r="O24" i="3" s="1"/>
  <c r="H24" i="3"/>
  <c r="S23" i="3"/>
  <c r="T23" i="3" s="1"/>
  <c r="I23" i="3"/>
  <c r="O23" i="3" s="1"/>
  <c r="H23" i="3"/>
  <c r="S22" i="3"/>
  <c r="T22" i="3" s="1"/>
  <c r="I22" i="3"/>
  <c r="O22" i="3" s="1"/>
  <c r="H22" i="3"/>
  <c r="S21" i="3"/>
  <c r="T21" i="3" s="1"/>
  <c r="I21" i="3"/>
  <c r="O21" i="3" s="1"/>
  <c r="H21" i="3"/>
  <c r="S20" i="3"/>
  <c r="T20" i="3" s="1"/>
  <c r="I20" i="3"/>
  <c r="O20" i="3" s="1"/>
  <c r="H20" i="3"/>
  <c r="I19" i="3"/>
  <c r="O19" i="3" s="1"/>
  <c r="H19" i="3"/>
  <c r="S18" i="3"/>
  <c r="T18" i="3" s="1"/>
  <c r="I18" i="3"/>
  <c r="O18" i="3" s="1"/>
  <c r="H18" i="3"/>
  <c r="S17" i="3"/>
  <c r="T17" i="3" s="1"/>
  <c r="I17" i="3"/>
  <c r="O17" i="3" s="1"/>
  <c r="H17" i="3"/>
  <c r="S16" i="3"/>
  <c r="T16" i="3" s="1"/>
  <c r="I16" i="3"/>
  <c r="L16" i="3" s="1"/>
  <c r="H16" i="3"/>
  <c r="S15" i="3"/>
  <c r="T15" i="3" s="1"/>
  <c r="I15" i="3"/>
  <c r="O15" i="3" s="1"/>
  <c r="H15" i="3"/>
  <c r="S14" i="3"/>
  <c r="T14" i="3" s="1"/>
  <c r="I14" i="3"/>
  <c r="O14" i="3" s="1"/>
  <c r="H14" i="3"/>
  <c r="S13" i="3"/>
  <c r="T13" i="3" s="1"/>
  <c r="I13" i="3"/>
  <c r="O13" i="3" s="1"/>
  <c r="H13" i="3"/>
  <c r="S12" i="3"/>
  <c r="T12" i="3" s="1"/>
  <c r="I12" i="3"/>
  <c r="L12" i="3" s="1"/>
  <c r="H12" i="3"/>
  <c r="S11" i="3"/>
  <c r="T11" i="3" s="1"/>
  <c r="I11" i="3"/>
  <c r="O11" i="3" s="1"/>
  <c r="H11" i="3"/>
  <c r="S10" i="3"/>
  <c r="T10" i="3" s="1"/>
  <c r="I10" i="3"/>
  <c r="O10" i="3" s="1"/>
  <c r="H10" i="3"/>
  <c r="S9" i="3"/>
  <c r="T9" i="3" s="1"/>
  <c r="I9" i="3"/>
  <c r="O9" i="3" s="1"/>
  <c r="H9" i="3"/>
  <c r="S8" i="3"/>
  <c r="T8" i="3" s="1"/>
  <c r="I8" i="3"/>
  <c r="O8" i="3" s="1"/>
  <c r="H8" i="3"/>
  <c r="S7" i="3"/>
  <c r="T7" i="3" s="1"/>
  <c r="I7" i="3"/>
  <c r="L7" i="3" s="1"/>
  <c r="H7" i="3"/>
  <c r="S6" i="3"/>
  <c r="T6" i="3" s="1"/>
  <c r="I6" i="3"/>
  <c r="O6" i="3" s="1"/>
  <c r="H6" i="3"/>
  <c r="O7" i="3" l="1"/>
  <c r="L8" i="3"/>
  <c r="I23" i="4"/>
  <c r="J23" i="4" s="1"/>
  <c r="I19" i="4"/>
  <c r="J19" i="4" s="1"/>
  <c r="I15" i="4"/>
  <c r="J15" i="4"/>
  <c r="I11" i="4"/>
  <c r="J11" i="4" s="1"/>
  <c r="I7" i="4"/>
  <c r="J7" i="4" s="1"/>
  <c r="O16" i="3"/>
  <c r="L17" i="3"/>
  <c r="N17" i="3" s="1"/>
  <c r="P17" i="3" s="1"/>
  <c r="I22" i="4"/>
  <c r="J22" i="4" s="1"/>
  <c r="I18" i="4"/>
  <c r="J18" i="4" s="1"/>
  <c r="I14" i="4"/>
  <c r="J14" i="4" s="1"/>
  <c r="J10" i="4"/>
  <c r="I10" i="4"/>
  <c r="I6" i="4"/>
  <c r="J6" i="4" s="1"/>
  <c r="O12" i="3"/>
  <c r="O29" i="3" s="1"/>
  <c r="L13" i="3"/>
  <c r="N13" i="3" s="1"/>
  <c r="P13" i="3" s="1"/>
  <c r="I4" i="4"/>
  <c r="J4" i="4" s="1"/>
  <c r="I21" i="4"/>
  <c r="J21" i="4" s="1"/>
  <c r="I17" i="4"/>
  <c r="J17" i="4" s="1"/>
  <c r="I13" i="4"/>
  <c r="J13" i="4" s="1"/>
  <c r="I9" i="4"/>
  <c r="J9" i="4" s="1"/>
  <c r="I5" i="4"/>
  <c r="J5" i="4" s="1"/>
  <c r="I24" i="4"/>
  <c r="J24" i="4" s="1"/>
  <c r="J20" i="4"/>
  <c r="I20" i="4"/>
  <c r="I16" i="4"/>
  <c r="J16" i="4" s="1"/>
  <c r="J12" i="4"/>
  <c r="I12" i="4"/>
  <c r="I8" i="4"/>
  <c r="J8" i="4" s="1"/>
  <c r="L10" i="3"/>
  <c r="N10" i="3" s="1"/>
  <c r="P10" i="3" s="1"/>
  <c r="L14" i="3"/>
  <c r="N14" i="3" s="1"/>
  <c r="P14" i="3" s="1"/>
  <c r="L18" i="3"/>
  <c r="N18" i="3" s="1"/>
  <c r="P18" i="3" s="1"/>
  <c r="L6" i="3"/>
  <c r="L11" i="3"/>
  <c r="N11" i="3" s="1"/>
  <c r="P11" i="3" s="1"/>
  <c r="L15" i="3"/>
  <c r="N15" i="3" s="1"/>
  <c r="P15" i="3" s="1"/>
  <c r="L19" i="3"/>
  <c r="N19" i="3" s="1"/>
  <c r="P19" i="3" s="1"/>
  <c r="L20" i="3"/>
  <c r="L9" i="3"/>
  <c r="N9" i="3" s="1"/>
  <c r="N6" i="2"/>
  <c r="P6" i="2" s="1"/>
  <c r="M27" i="2"/>
  <c r="U27" i="2" s="1"/>
  <c r="V27" i="2" s="1"/>
  <c r="M28" i="2"/>
  <c r="Q24" i="2"/>
  <c r="R27" i="2"/>
  <c r="L21" i="3"/>
  <c r="L22" i="3"/>
  <c r="L23" i="3"/>
  <c r="L24" i="3"/>
  <c r="L25" i="3"/>
  <c r="N6" i="3"/>
  <c r="P6" i="3" s="1"/>
  <c r="N7" i="3"/>
  <c r="P7" i="3" s="1"/>
  <c r="N8" i="3"/>
  <c r="P8" i="3" s="1"/>
  <c r="N12" i="3"/>
  <c r="P12" i="3" s="1"/>
  <c r="N16" i="3"/>
  <c r="P16" i="3" s="1"/>
  <c r="N20" i="3"/>
  <c r="P20" i="3" s="1"/>
  <c r="L26" i="3"/>
  <c r="U23" i="2"/>
  <c r="V23" i="2" s="1"/>
  <c r="U6" i="2"/>
  <c r="V6" i="2" s="1"/>
  <c r="U7" i="2"/>
  <c r="V7" i="2" s="1"/>
  <c r="U8" i="2"/>
  <c r="V8" i="2" s="1"/>
  <c r="U9" i="2"/>
  <c r="V9" i="2" s="1"/>
  <c r="U10" i="2"/>
  <c r="V10" i="2" s="1"/>
  <c r="U11" i="2"/>
  <c r="V11" i="2" s="1"/>
  <c r="U12" i="2"/>
  <c r="V12" i="2" s="1"/>
  <c r="U13" i="2"/>
  <c r="V13" i="2" s="1"/>
  <c r="U14" i="2"/>
  <c r="U15" i="2"/>
  <c r="V15" i="2" s="1"/>
  <c r="U16" i="2"/>
  <c r="V16" i="2" s="1"/>
  <c r="U17" i="2"/>
  <c r="V17" i="2" s="1"/>
  <c r="U18" i="2"/>
  <c r="V18" i="2" s="1"/>
  <c r="U19" i="2"/>
  <c r="V19" i="2" s="1"/>
  <c r="U20" i="2"/>
  <c r="V20" i="2" s="1"/>
  <c r="U21" i="2"/>
  <c r="V21" i="2" s="1"/>
  <c r="U22" i="2"/>
  <c r="V22" i="2" s="1"/>
  <c r="U24" i="2"/>
  <c r="V24" i="2" s="1"/>
  <c r="U25" i="2"/>
  <c r="V25" i="2" s="1"/>
  <c r="U26" i="2"/>
  <c r="V26" i="2" s="1"/>
  <c r="V14" i="2"/>
  <c r="J33" i="4" l="1"/>
  <c r="P9" i="3"/>
  <c r="S27" i="2"/>
  <c r="P28" i="2"/>
  <c r="L28" i="2" s="1"/>
  <c r="N28" i="2" s="1"/>
  <c r="U28" i="2"/>
  <c r="V28" i="2" s="1"/>
  <c r="S28" i="2"/>
  <c r="N24" i="3"/>
  <c r="P24" i="3" s="1"/>
  <c r="N22" i="3"/>
  <c r="P22" i="3" s="1"/>
  <c r="N26" i="3"/>
  <c r="P26" i="3" s="1"/>
  <c r="N25" i="3"/>
  <c r="P25" i="3" s="1"/>
  <c r="N23" i="3"/>
  <c r="P23" i="3" s="1"/>
  <c r="N21" i="3"/>
  <c r="P21" i="3" s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S32" i="2" l="1"/>
  <c r="R28" i="2"/>
  <c r="P29" i="3"/>
  <c r="N19" i="2"/>
  <c r="Q19" i="2"/>
  <c r="N11" i="2"/>
  <c r="Q11" i="2"/>
  <c r="Q22" i="2"/>
  <c r="N22" i="2"/>
  <c r="P22" i="2" s="1"/>
  <c r="R22" i="2" s="1"/>
  <c r="Q25" i="2"/>
  <c r="N25" i="2"/>
  <c r="Q21" i="2"/>
  <c r="N21" i="2"/>
  <c r="Q17" i="2"/>
  <c r="N17" i="2"/>
  <c r="Q13" i="2"/>
  <c r="N13" i="2"/>
  <c r="N9" i="2"/>
  <c r="Q9" i="2"/>
  <c r="Q23" i="2"/>
  <c r="N23" i="2"/>
  <c r="N15" i="2"/>
  <c r="Q15" i="2"/>
  <c r="N7" i="2"/>
  <c r="Q7" i="2"/>
  <c r="Q26" i="2"/>
  <c r="N26" i="2"/>
  <c r="Q18" i="2"/>
  <c r="N18" i="2"/>
  <c r="Q14" i="2"/>
  <c r="N14" i="2"/>
  <c r="Q10" i="2"/>
  <c r="N10" i="2"/>
  <c r="N24" i="2"/>
  <c r="N20" i="2"/>
  <c r="P20" i="2" s="1"/>
  <c r="R20" i="2" s="1"/>
  <c r="Q20" i="2"/>
  <c r="N16" i="2"/>
  <c r="Q16" i="2"/>
  <c r="N12" i="2"/>
  <c r="Q12" i="2"/>
  <c r="N8" i="2"/>
  <c r="Q8" i="2"/>
  <c r="L2" i="1"/>
  <c r="K40" i="1"/>
  <c r="G20" i="1"/>
  <c r="E20" i="1"/>
  <c r="K39" i="1"/>
  <c r="K38" i="1"/>
  <c r="N32" i="2" l="1"/>
  <c r="Q32" i="2"/>
  <c r="P25" i="2"/>
  <c r="R25" i="2" s="1"/>
  <c r="P12" i="2"/>
  <c r="R12" i="2" s="1"/>
  <c r="P7" i="2"/>
  <c r="R7" i="2" s="1"/>
  <c r="P10" i="2"/>
  <c r="R10" i="2" s="1"/>
  <c r="P18" i="2"/>
  <c r="R18" i="2" s="1"/>
  <c r="P23" i="2"/>
  <c r="R23" i="2" s="1"/>
  <c r="P17" i="2"/>
  <c r="R17" i="2" s="1"/>
  <c r="P9" i="2"/>
  <c r="R9" i="2" s="1"/>
  <c r="P11" i="2"/>
  <c r="R11" i="2" s="1"/>
  <c r="P14" i="2"/>
  <c r="R14" i="2" s="1"/>
  <c r="P26" i="2"/>
  <c r="R26" i="2" s="1"/>
  <c r="R6" i="2"/>
  <c r="P13" i="2"/>
  <c r="R13" i="2" s="1"/>
  <c r="P21" i="2"/>
  <c r="R21" i="2" s="1"/>
  <c r="P8" i="2"/>
  <c r="R8" i="2" s="1"/>
  <c r="P16" i="2"/>
  <c r="R16" i="2" s="1"/>
  <c r="P15" i="2"/>
  <c r="R15" i="2" s="1"/>
  <c r="P19" i="2"/>
  <c r="R19" i="2" s="1"/>
  <c r="P8" i="1"/>
  <c r="P22" i="1"/>
  <c r="H44" i="1"/>
  <c r="H12" i="1"/>
  <c r="H47" i="1"/>
  <c r="H11" i="1"/>
  <c r="H45" i="1"/>
  <c r="H63" i="1"/>
  <c r="H64" i="1"/>
  <c r="P7" i="1"/>
  <c r="H39" i="1"/>
  <c r="H6" i="1"/>
  <c r="H2" i="1"/>
  <c r="P24" i="1"/>
  <c r="H3" i="1"/>
  <c r="G48" i="1"/>
  <c r="E48" i="1"/>
  <c r="P15" i="1"/>
  <c r="H9" i="1"/>
  <c r="H21" i="1"/>
  <c r="H59" i="1"/>
  <c r="H17" i="1"/>
  <c r="G50" i="1"/>
  <c r="H50" i="1" s="1"/>
  <c r="G33" i="1"/>
  <c r="E33" i="1"/>
  <c r="H27" i="1"/>
  <c r="H60" i="1"/>
  <c r="H53" i="1"/>
  <c r="G43" i="1"/>
  <c r="E43" i="1"/>
  <c r="H56" i="1"/>
  <c r="G62" i="1"/>
  <c r="E62" i="1"/>
  <c r="H19" i="1"/>
  <c r="H34" i="1"/>
  <c r="H25" i="1"/>
  <c r="H57" i="1"/>
  <c r="P17" i="1"/>
  <c r="P16" i="1"/>
  <c r="H10" i="1"/>
  <c r="G41" i="1"/>
  <c r="E41" i="1"/>
  <c r="H54" i="1"/>
  <c r="H46" i="1"/>
  <c r="H16" i="1"/>
  <c r="P20" i="1"/>
  <c r="P27" i="1"/>
  <c r="P23" i="1"/>
  <c r="P18" i="1"/>
  <c r="P19" i="1"/>
  <c r="P28" i="1"/>
  <c r="P21" i="1"/>
  <c r="P26" i="1"/>
  <c r="P25" i="1"/>
  <c r="H35" i="1"/>
  <c r="P6" i="1"/>
  <c r="P3" i="1"/>
  <c r="P4" i="1"/>
  <c r="P5" i="1"/>
  <c r="P2" i="1"/>
  <c r="G31" i="1"/>
  <c r="E31" i="1"/>
  <c r="H40" i="1"/>
  <c r="H28" i="1"/>
  <c r="G38" i="1"/>
  <c r="E38" i="1"/>
  <c r="G24" i="1"/>
  <c r="E24" i="1"/>
  <c r="H52" i="1"/>
  <c r="H32" i="1"/>
  <c r="H14" i="1"/>
  <c r="H23" i="1"/>
  <c r="H22" i="1"/>
  <c r="H26" i="1"/>
  <c r="H5" i="1"/>
  <c r="H30" i="1"/>
  <c r="H15" i="1"/>
  <c r="H55" i="1"/>
  <c r="H61" i="1"/>
  <c r="H37" i="1"/>
  <c r="H13" i="1"/>
  <c r="H51" i="1"/>
  <c r="H7" i="1"/>
  <c r="H8" i="1"/>
  <c r="H18" i="1"/>
  <c r="H36" i="1"/>
  <c r="H42" i="1"/>
  <c r="H49" i="1"/>
  <c r="H58" i="1"/>
  <c r="H4" i="1"/>
  <c r="E29" i="1"/>
  <c r="H29" i="1" s="1"/>
  <c r="H43" i="1" l="1"/>
  <c r="H62" i="1"/>
  <c r="R29" i="2"/>
  <c r="R31" i="2"/>
  <c r="H31" i="1"/>
  <c r="H41" i="1"/>
  <c r="H48" i="1"/>
  <c r="H33" i="1"/>
  <c r="H38" i="1"/>
  <c r="H24" i="1"/>
  <c r="H20" i="1"/>
  <c r="G25" i="4"/>
</calcChain>
</file>

<file path=xl/sharedStrings.xml><?xml version="1.0" encoding="utf-8"?>
<sst xmlns="http://schemas.openxmlformats.org/spreadsheetml/2006/main" count="422" uniqueCount="211">
  <si>
    <t>banany</t>
  </si>
  <si>
    <t>pomidory śliwkowe</t>
  </si>
  <si>
    <t>KG</t>
  </si>
  <si>
    <t>Pietruszka natka</t>
  </si>
  <si>
    <t>szt.</t>
  </si>
  <si>
    <t>Kukurydza konserwowa</t>
  </si>
  <si>
    <t>kg</t>
  </si>
  <si>
    <t>Brzoskwinia</t>
  </si>
  <si>
    <t>Ogórek kiszony</t>
  </si>
  <si>
    <t>Szczaw konserwowy</t>
  </si>
  <si>
    <t xml:space="preserve">pomidory  </t>
  </si>
  <si>
    <t>Papryka złota</t>
  </si>
  <si>
    <t>Szczypior z cebulka</t>
  </si>
  <si>
    <t>Brzoskwinia krajowa</t>
  </si>
  <si>
    <t>Wartość zakupu</t>
  </si>
  <si>
    <t>ziemniaki</t>
  </si>
  <si>
    <t>Groch łuskany</t>
  </si>
  <si>
    <t>Ogórek krajowy</t>
  </si>
  <si>
    <t>Kurkuma</t>
  </si>
  <si>
    <t>Jabłka</t>
  </si>
  <si>
    <t>Winogron zielony</t>
  </si>
  <si>
    <t>Rukola</t>
  </si>
  <si>
    <t>Chrzan konserwowy 160 g</t>
  </si>
  <si>
    <t>op.</t>
  </si>
  <si>
    <t>Ogórek konserwowy 0,9 l</t>
  </si>
  <si>
    <t>Marchew</t>
  </si>
  <si>
    <t>Papryka czerwona</t>
  </si>
  <si>
    <t>Sałata Polska</t>
  </si>
  <si>
    <t>Cytryna</t>
  </si>
  <si>
    <t>Kurki- grzyby</t>
  </si>
  <si>
    <t>Borówka Polska</t>
  </si>
  <si>
    <t>Kapusta Pekinska</t>
  </si>
  <si>
    <t>Kapusta</t>
  </si>
  <si>
    <t>Kapusta czerwona</t>
  </si>
  <si>
    <t>Cukinia</t>
  </si>
  <si>
    <t>Lubczyk suszony</t>
  </si>
  <si>
    <t>Rzodkiew biała</t>
  </si>
  <si>
    <t>Koper duzy</t>
  </si>
  <si>
    <t>Wartość</t>
  </si>
  <si>
    <t>Nowalijki</t>
  </si>
  <si>
    <t>Kapusta włoska</t>
  </si>
  <si>
    <t>Orzech włoski</t>
  </si>
  <si>
    <t>Pietruszka suszona</t>
  </si>
  <si>
    <t>Koper suszony</t>
  </si>
  <si>
    <t>Marchew młoda</t>
  </si>
  <si>
    <t>migdaly płatki 1 kg</t>
  </si>
  <si>
    <t>śliwka suszona</t>
  </si>
  <si>
    <t>Cytryna Limonka</t>
  </si>
  <si>
    <t>Pomidor CASI</t>
  </si>
  <si>
    <t>Sałata lodowa</t>
  </si>
  <si>
    <t>malina 500 gram</t>
  </si>
  <si>
    <t>Buraki młode</t>
  </si>
  <si>
    <t>Kiwi</t>
  </si>
  <si>
    <t>Pieczarka</t>
  </si>
  <si>
    <t>Kiwi koszyk</t>
  </si>
  <si>
    <t>Mandarynka</t>
  </si>
  <si>
    <t>op</t>
  </si>
  <si>
    <t>miód wielokwiatowy</t>
  </si>
  <si>
    <t>Seler</t>
  </si>
  <si>
    <t>truskawka</t>
  </si>
  <si>
    <t>Kapusta młoda</t>
  </si>
  <si>
    <t>słonecznik łuskany</t>
  </si>
  <si>
    <t>marchew holenderska</t>
  </si>
  <si>
    <t>Groszek konserwowy 400 g</t>
  </si>
  <si>
    <t>Sałata z Wloch</t>
  </si>
  <si>
    <t>Rzodkiewka</t>
  </si>
  <si>
    <t>Winogron czerwony</t>
  </si>
  <si>
    <t>Kapusta Stozek</t>
  </si>
  <si>
    <t>Pora</t>
  </si>
  <si>
    <t>Kalafior</t>
  </si>
  <si>
    <t>Szczaw świeży</t>
  </si>
  <si>
    <t xml:space="preserve">Buraki </t>
  </si>
  <si>
    <t>Czosnek</t>
  </si>
  <si>
    <t>gruszka konferencja</t>
  </si>
  <si>
    <t xml:space="preserve"> </t>
  </si>
  <si>
    <t>Bakłażan</t>
  </si>
  <si>
    <t>Pomarańcze</t>
  </si>
  <si>
    <t>pomidor suszony 100 g</t>
  </si>
  <si>
    <t>Ananas</t>
  </si>
  <si>
    <t>puszka</t>
  </si>
  <si>
    <t>botwina</t>
  </si>
  <si>
    <t>peczek</t>
  </si>
  <si>
    <t>Ogórek małosolny</t>
  </si>
  <si>
    <t>Koper</t>
  </si>
  <si>
    <t>ziemniaki paczkowane</t>
  </si>
  <si>
    <t>Ziemniaki młode z Cypru</t>
  </si>
  <si>
    <t>Pietruszka młoda/na</t>
  </si>
  <si>
    <t>Cebula młoda</t>
  </si>
  <si>
    <t>Pomidor malinówka</t>
  </si>
  <si>
    <t>Pietruszka korzeniowa</t>
  </si>
  <si>
    <t>Nektarynka</t>
  </si>
  <si>
    <t>szczypior</t>
  </si>
  <si>
    <t>zestawienie warzyw i owoców z nadesłanych od Pani Bucław formualrza zakuionego towaru..</t>
  </si>
  <si>
    <t>Kapusta Kiszona młoda</t>
  </si>
  <si>
    <t>asortyment na 2019-2020r</t>
  </si>
  <si>
    <t>produkt</t>
  </si>
  <si>
    <t>wielkość opakowania</t>
  </si>
  <si>
    <t xml:space="preserve">ilość w zamówieniu  </t>
  </si>
  <si>
    <t>I Kwartał</t>
  </si>
  <si>
    <t>II Kwartał</t>
  </si>
  <si>
    <t>III Kwartał</t>
  </si>
  <si>
    <t>IV Kwartał</t>
  </si>
  <si>
    <t>Ogółem</t>
  </si>
  <si>
    <t>jogurt naturalny</t>
  </si>
  <si>
    <t>jogurt owocowy</t>
  </si>
  <si>
    <t>masło</t>
  </si>
  <si>
    <t>mleko 2 %</t>
  </si>
  <si>
    <t>ser Fromage nat.</t>
  </si>
  <si>
    <t>ser podpuszczkowy twardy żółty</t>
  </si>
  <si>
    <t>naturalny milandia</t>
  </si>
  <si>
    <t>ser twarog.z mascapone</t>
  </si>
  <si>
    <t>serek puszysty łaciaty  smakowe 150 G</t>
  </si>
  <si>
    <t>serek topiony zegar 140 G</t>
  </si>
  <si>
    <t>smakowe.wan.</t>
  </si>
  <si>
    <t>serki homogenizowane</t>
  </si>
  <si>
    <t>serki kanapkowe smakowe</t>
  </si>
  <si>
    <t>serki plastry</t>
  </si>
  <si>
    <t>serki twarogowe twój smak</t>
  </si>
  <si>
    <t>śmietana 18 %</t>
  </si>
  <si>
    <t>tartare</t>
  </si>
  <si>
    <t>twaróg półtłusty</t>
  </si>
  <si>
    <t>Serek termizowany w opakowaniach 3 Kg</t>
  </si>
  <si>
    <t xml:space="preserve">Maślanka </t>
  </si>
  <si>
    <t xml:space="preserve">Mleko zsiadłe </t>
  </si>
  <si>
    <t>zakupy faktyczne</t>
  </si>
  <si>
    <t>Ser Twardy w Kg</t>
  </si>
  <si>
    <t>cena netto</t>
  </si>
  <si>
    <t>cena brutto</t>
  </si>
  <si>
    <t>wartość netto</t>
  </si>
  <si>
    <t>wartość brutto</t>
  </si>
  <si>
    <t>Staka vat</t>
  </si>
  <si>
    <t>wartość vat</t>
  </si>
  <si>
    <t>serki  Haga 100 gram</t>
  </si>
  <si>
    <t>cena jednostkowa brutto</t>
  </si>
  <si>
    <t>wartość jednostkowa vat</t>
  </si>
  <si>
    <t>ilości przypuszczalne</t>
  </si>
  <si>
    <t xml:space="preserve">IV Kwartał </t>
  </si>
  <si>
    <t>zakup faktyczny 2018r od 20,04,18r</t>
  </si>
  <si>
    <t>serki Kiri</t>
  </si>
  <si>
    <t xml:space="preserve">śmietana 18 % </t>
  </si>
  <si>
    <t>Maślanka  szt.</t>
  </si>
  <si>
    <t>I Kwartał 2019r</t>
  </si>
  <si>
    <t>zakup faktyczny ogółem</t>
  </si>
  <si>
    <t>serki 125 gram twarogowe</t>
  </si>
  <si>
    <t>wartość brutto  zakupów faktycznych</t>
  </si>
  <si>
    <t>wartość za szt/op vat</t>
  </si>
  <si>
    <t>twaróg półtłusty w kg</t>
  </si>
  <si>
    <t xml:space="preserve">serki  Haga 100 gram </t>
  </si>
  <si>
    <t>Przedmiot zamówienia</t>
  </si>
  <si>
    <t>Jm</t>
  </si>
  <si>
    <t>Lp</t>
  </si>
  <si>
    <t xml:space="preserve">Ilości  </t>
  </si>
  <si>
    <t>Wartość netto</t>
  </si>
  <si>
    <t>Vat</t>
  </si>
  <si>
    <t>Wartość brutto</t>
  </si>
  <si>
    <t>Opis produktu</t>
  </si>
  <si>
    <t>Uwagi</t>
  </si>
  <si>
    <t>szt</t>
  </si>
  <si>
    <t>L</t>
  </si>
  <si>
    <t>Masło (200g)</t>
  </si>
  <si>
    <t>Jogurt  ( owocowy) 150g Kubek o pojemności 150g zawartość tłuszczu do 3 %</t>
  </si>
  <si>
    <t>Jogurt naturalny. Kubek o pojemności 150g zawartość tłuszczu minimum 2 %</t>
  </si>
  <si>
    <t>Mleko 2%</t>
  </si>
  <si>
    <t>Ser żółty- blok zawartość tłuszczu w suchej masie minnimum 40 %</t>
  </si>
  <si>
    <t>Serki Homogenizowane 150g (naturalne) i</t>
  </si>
  <si>
    <t>Serki Homogenizowane 150g (owocowe)</t>
  </si>
  <si>
    <t>Serki kanapkowe (różne smaki) (150g)</t>
  </si>
  <si>
    <t>Serki plastry topione(różne smaki) (130g)</t>
  </si>
  <si>
    <t>Serki topione (mix, smakowy krążek waga) (140g), zawartość tłuszczu nie mniej niż 16 %.Rodzaj smaku uzależniony od potrzeb zamawiającego.</t>
  </si>
  <si>
    <t>Serki twarogowe     135 g.</t>
  </si>
  <si>
    <t xml:space="preserve">Serki twarogowe  z  warzywami w  plastrach  150 g. </t>
  </si>
  <si>
    <t>Serki twarogowe (różne smaki) 100g</t>
  </si>
  <si>
    <t>Serki twarogowe (różne smaki) typu Almette 150g</t>
  </si>
  <si>
    <t>Serki Twarogowe 20g typu Tartare (różne smaki)</t>
  </si>
  <si>
    <t>Serki Twarogowe 80g typu Kiri(różne smaki)</t>
  </si>
  <si>
    <t>Śmietana 18% / a litr</t>
  </si>
  <si>
    <t>Twaróg półtłusty</t>
  </si>
  <si>
    <t>Serek twarogowy termizowany w opakowaniach minimum 3 kg</t>
  </si>
  <si>
    <t>Maślanka naturalna 1 litr</t>
  </si>
  <si>
    <t>Mleko zsiadłe kubek o pojemności 400 g, zawartość tłuszczu 3 %</t>
  </si>
  <si>
    <t>Ekstra świeże,o zawartości tłuszczu co najmniej 82% ,kostka 200g ,bez objawów zjełczenia ,o barwie jasno żółtej, jednolitej. Kostka o regularnym kształcie, bez objawów pleśni,o typowym zapachu i smaku o wystarczająco długim terminie przydatności do spożycia .Zapach i smak czysty lekko kwaśny,mlekowy,lekko tłuszczowy</t>
  </si>
  <si>
    <t>Opakowanie 150 g smak i zapach łagodny.Niedopuszczalny jest zapach i smak jełki, piekący, mdły gorzki. Konsystencja zwięzła,jednolita,bez ziarnistości,różne smaki</t>
  </si>
  <si>
    <t>2% opakowanie plastikowe,maksymalnie do 5L szczelne spawy o wystarczająco długim terminie przydatności do spożycia ,bez obcych smaków i zapachów.Ciecz jednorodna o barwie białej ,bez postoju śmietanki</t>
  </si>
  <si>
    <t>Smak łagodny delikatny ,aromatyczny,swoisty,barwa jednolita w całej masie.Konsystencja zwarta,nierozpadająca się podczas krojenia.</t>
  </si>
  <si>
    <t>Opakowanie 150g smak i zapach łagodny.Niedopuszczalny jest zapach i smak jełki, piekący, mdły gorzki. Konsystencja zwięzła,jednolita,bez ziarnistości,różne smaki</t>
  </si>
  <si>
    <t>Opakowanie 130g smak i zapach łagodny.Niedopuszczalny jest zapach i smak jełki, piekący, mdły gorzki. Konsystencja zwięzła,jednolita,bez ziarnistości,różne smaki</t>
  </si>
  <si>
    <t>Opakowanie 140g smak i zapach łagodny.Niedopuszczalny jest zapach i smak jełki, piekący, mdły gorzki. Konsystencja zwięzła,jednolita,bez ziarnistości,różne smaki</t>
  </si>
  <si>
    <t>Opakowanie 135 g smak i zapach łagodny.Niedopuszczalny jest zapach i smak jełki, piekący, mdły gorzki. Konsystencja zwięzła,jednolita,bez ziarnistości,różne smaki</t>
  </si>
  <si>
    <t>Opakowanie 100g smak i zapach łagodny.Niedopuszczalny jest zapach i smak jełki, piekący, mdły gorzki. Konsystencja zwięzła,jednolita,bez ziarnistości,różne smaki</t>
  </si>
  <si>
    <t>Opakowanie 20g smak i zapach łagodny.Niedopuszczalny jest zapach i smak jełki, piekący, mdły gorzki. Konsystencja zwięzła,jednolita,bez ziarnistości,różne smaki</t>
  </si>
  <si>
    <t>Opakowanie 80g smak i zapach łagodny.Niedopuszczalny jest zapach i smak jełki, piekący, mdły gorzki. Konsystencja zwięzła,jednolita,bez ziarnistości,różne smaki</t>
  </si>
  <si>
    <t>18% opakowanie plastikowe,maksymalnie do 1L o wystarczająco długim terminie przydatności do spożycia.Płyn lekko zawiesisty bez zanieczyszczeń, barwa biało kremowa</t>
  </si>
  <si>
    <t>Paczkowany w pergaminie o gramaturze od ,25 kg do 1,00 kg . Smak i zapach właściwy,łagodny ,lekko kwaśny .Struktura i konsystencja jednolita, zwarta, barwa biała do kremowej</t>
  </si>
  <si>
    <t>Na opakowaniu powinien być uwidoczniony terminie przydatności do spożycia. Opakowanie powinno być szczelnie zamknięte. Skład Maślanki:  mleko pasteryzowana, odtłuszczone w proszku, żywe kultury bakterii mlekowych.</t>
  </si>
  <si>
    <t xml:space="preserve">Na opakowaniu powinien być uwidoczniony terminie przydatności do spożycia. Opakowanie powinno być szczelnie zamknięte. </t>
  </si>
  <si>
    <t>Wartość  netto</t>
  </si>
  <si>
    <t>Przetarg na okres 2019-2020r</t>
  </si>
  <si>
    <t>Wartość VAT</t>
  </si>
  <si>
    <t xml:space="preserve">Serki Homogenizowane 150g (naturalne) </t>
  </si>
  <si>
    <t>Serki Twarogowe 100g typu Kiri(różne smaki)</t>
  </si>
  <si>
    <t>Razem</t>
  </si>
  <si>
    <t>x</t>
  </si>
  <si>
    <t>cena jednostkowa netto</t>
  </si>
  <si>
    <t>Vat %</t>
  </si>
  <si>
    <t>Opis przedmiotu zamówienia</t>
  </si>
  <si>
    <t>Nazwa Wykonawcy</t>
  </si>
  <si>
    <t>Załącznik nr 2</t>
  </si>
  <si>
    <t>Nazwa handlowa/ Producent</t>
  </si>
  <si>
    <t>Uwaga!</t>
  </si>
  <si>
    <t>1. W Formularzu asortymentowo-cenowym należy podać nazwę oferowanego produktu, i nazwę producenta.</t>
  </si>
  <si>
    <t>Formularz asortymentowo - ilościowy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</si>
</sst>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1" xfId="0" applyBorder="1"/>
    <xf numFmtId="0" fontId="5" fillId="3" borderId="0" xfId="0" applyFont="1" applyFill="1"/>
    <xf numFmtId="0" fontId="0" fillId="0" borderId="11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5" fillId="3" borderId="15" xfId="0" applyFont="1" applyFill="1" applyBorder="1"/>
    <xf numFmtId="0" fontId="5" fillId="3" borderId="16" xfId="0" applyFont="1" applyFill="1" applyBorder="1"/>
    <xf numFmtId="0" fontId="0" fillId="0" borderId="17" xfId="0" applyBorder="1"/>
    <xf numFmtId="0" fontId="5" fillId="3" borderId="18" xfId="0" applyFont="1" applyFill="1" applyBorder="1"/>
    <xf numFmtId="0" fontId="6" fillId="0" borderId="0" xfId="0" applyFont="1" applyFill="1" applyBorder="1"/>
    <xf numFmtId="0" fontId="6" fillId="0" borderId="0" xfId="0" applyFont="1"/>
    <xf numFmtId="0" fontId="4" fillId="2" borderId="2" xfId="0" applyFont="1" applyFill="1" applyBorder="1" applyAlignment="1">
      <alignment horizontal="center" vertical="center"/>
    </xf>
    <xf numFmtId="0" fontId="0" fillId="0" borderId="0" xfId="0" applyFill="1" applyBorder="1"/>
    <xf numFmtId="9" fontId="0" fillId="0" borderId="0" xfId="0" applyNumberFormat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4" fillId="2" borderId="0" xfId="0" applyFont="1" applyFill="1" applyBorder="1" applyAlignment="1">
      <alignment horizontal="center" vertical="center"/>
    </xf>
    <xf numFmtId="0" fontId="0" fillId="0" borderId="5" xfId="0" applyBorder="1"/>
    <xf numFmtId="0" fontId="5" fillId="3" borderId="0" xfId="0" applyFont="1" applyFill="1" applyBorder="1"/>
    <xf numFmtId="0" fontId="0" fillId="0" borderId="19" xfId="0" applyBorder="1"/>
    <xf numFmtId="0" fontId="5" fillId="3" borderId="9" xfId="0" applyFont="1" applyFill="1" applyBorder="1"/>
    <xf numFmtId="0" fontId="4" fillId="3" borderId="0" xfId="0" applyFont="1" applyFill="1" applyBorder="1" applyAlignment="1">
      <alignment horizontal="left" vertical="top" wrapText="1"/>
    </xf>
    <xf numFmtId="164" fontId="0" fillId="0" borderId="0" xfId="0" applyNumberFormat="1"/>
    <xf numFmtId="0" fontId="7" fillId="0" borderId="9" xfId="0" applyFont="1" applyBorder="1" applyAlignment="1">
      <alignment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top" wrapText="1"/>
    </xf>
    <xf numFmtId="10" fontId="0" fillId="0" borderId="9" xfId="0" applyNumberFormat="1" applyBorder="1"/>
    <xf numFmtId="0" fontId="0" fillId="0" borderId="0" xfId="0" applyFont="1"/>
    <xf numFmtId="0" fontId="8" fillId="0" borderId="0" xfId="0" applyFont="1"/>
    <xf numFmtId="0" fontId="9" fillId="0" borderId="9" xfId="0" applyFont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5" fillId="0" borderId="0" xfId="0" applyFont="1" applyFill="1"/>
    <xf numFmtId="9" fontId="0" fillId="0" borderId="9" xfId="0" applyNumberFormat="1" applyBorder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9" xfId="0" applyFont="1" applyBorder="1" applyAlignment="1">
      <alignment horizontal="center" wrapText="1"/>
    </xf>
    <xf numFmtId="0" fontId="10" fillId="0" borderId="0" xfId="0" applyFont="1"/>
    <xf numFmtId="9" fontId="7" fillId="0" borderId="9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3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P66"/>
  <sheetViews>
    <sheetView zoomScale="96" zoomScaleNormal="96" workbookViewId="0">
      <selection activeCell="L3" sqref="L3"/>
    </sheetView>
  </sheetViews>
  <sheetFormatPr defaultRowHeight="15" x14ac:dyDescent="0.25"/>
  <cols>
    <col min="3" max="3" width="25" bestFit="1" customWidth="1"/>
    <col min="4" max="4" width="12.5703125" customWidth="1"/>
    <col min="7" max="7" width="15" bestFit="1" customWidth="1"/>
    <col min="8" max="8" width="9.140625" style="3"/>
    <col min="11" max="11" width="20" bestFit="1" customWidth="1"/>
    <col min="12" max="12" width="7.140625" bestFit="1" customWidth="1"/>
  </cols>
  <sheetData>
    <row r="1" spans="3:16" x14ac:dyDescent="0.25">
      <c r="E1" t="s">
        <v>2</v>
      </c>
      <c r="G1" t="s">
        <v>14</v>
      </c>
      <c r="K1" t="s">
        <v>39</v>
      </c>
      <c r="O1" t="s">
        <v>38</v>
      </c>
    </row>
    <row r="2" spans="3:16" x14ac:dyDescent="0.25">
      <c r="C2" t="s">
        <v>78</v>
      </c>
      <c r="E2">
        <v>1</v>
      </c>
      <c r="F2" t="s">
        <v>79</v>
      </c>
      <c r="G2">
        <v>5.16</v>
      </c>
      <c r="H2" s="3">
        <f t="shared" ref="H2:H33" si="0">G2/E2</f>
        <v>5.16</v>
      </c>
      <c r="J2" t="s">
        <v>3</v>
      </c>
      <c r="L2">
        <f>698+5</f>
        <v>703</v>
      </c>
      <c r="M2" t="s">
        <v>4</v>
      </c>
      <c r="O2">
        <v>1025.069</v>
      </c>
      <c r="P2">
        <f t="shared" ref="P2:P8" si="1">O2/L2</f>
        <v>1.458135135135135</v>
      </c>
    </row>
    <row r="3" spans="3:16" x14ac:dyDescent="0.25">
      <c r="C3" t="s">
        <v>75</v>
      </c>
      <c r="E3">
        <v>0.85</v>
      </c>
      <c r="F3" t="s">
        <v>6</v>
      </c>
      <c r="G3">
        <v>8.14</v>
      </c>
      <c r="H3" s="3">
        <f t="shared" si="0"/>
        <v>9.5764705882352956</v>
      </c>
      <c r="J3" t="s">
        <v>12</v>
      </c>
      <c r="L3">
        <v>5</v>
      </c>
      <c r="M3" t="s">
        <v>4</v>
      </c>
      <c r="O3">
        <v>7.35</v>
      </c>
      <c r="P3">
        <f t="shared" si="1"/>
        <v>1.47</v>
      </c>
    </row>
    <row r="4" spans="3:16" x14ac:dyDescent="0.25">
      <c r="C4" t="s">
        <v>0</v>
      </c>
      <c r="E4">
        <v>50.5</v>
      </c>
      <c r="F4" t="s">
        <v>6</v>
      </c>
      <c r="G4">
        <v>240.73</v>
      </c>
      <c r="H4" s="3">
        <f t="shared" si="0"/>
        <v>4.7669306930693072</v>
      </c>
      <c r="J4" t="s">
        <v>37</v>
      </c>
      <c r="L4">
        <v>1</v>
      </c>
      <c r="M4" t="s">
        <v>4</v>
      </c>
      <c r="O4">
        <v>2</v>
      </c>
      <c r="P4">
        <f t="shared" si="1"/>
        <v>2</v>
      </c>
    </row>
    <row r="5" spans="3:16" x14ac:dyDescent="0.25">
      <c r="C5" t="s">
        <v>30</v>
      </c>
      <c r="E5">
        <v>0.4</v>
      </c>
      <c r="F5" t="s">
        <v>6</v>
      </c>
      <c r="G5">
        <v>8</v>
      </c>
      <c r="H5" s="3">
        <f t="shared" si="0"/>
        <v>20</v>
      </c>
      <c r="J5" t="s">
        <v>42</v>
      </c>
      <c r="L5">
        <v>37</v>
      </c>
      <c r="M5" t="s">
        <v>4</v>
      </c>
      <c r="O5">
        <v>253.4</v>
      </c>
      <c r="P5">
        <f t="shared" si="1"/>
        <v>6.8486486486486484</v>
      </c>
    </row>
    <row r="6" spans="3:16" x14ac:dyDescent="0.25">
      <c r="C6" s="4" t="s">
        <v>80</v>
      </c>
      <c r="E6">
        <v>129</v>
      </c>
      <c r="F6" t="s">
        <v>81</v>
      </c>
      <c r="G6">
        <v>270</v>
      </c>
      <c r="H6">
        <f t="shared" si="0"/>
        <v>2.0930232558139537</v>
      </c>
      <c r="J6" t="s">
        <v>43</v>
      </c>
      <c r="L6">
        <v>9</v>
      </c>
      <c r="M6" t="s">
        <v>4</v>
      </c>
      <c r="O6">
        <v>94.23</v>
      </c>
      <c r="P6">
        <f t="shared" si="1"/>
        <v>10.47</v>
      </c>
    </row>
    <row r="7" spans="3:16" x14ac:dyDescent="0.25">
      <c r="C7" t="s">
        <v>7</v>
      </c>
      <c r="E7">
        <v>66.2</v>
      </c>
      <c r="F7" t="s">
        <v>6</v>
      </c>
      <c r="G7">
        <v>218.65</v>
      </c>
      <c r="H7" s="3">
        <f t="shared" si="0"/>
        <v>3.3028700906344408</v>
      </c>
      <c r="J7" t="s">
        <v>83</v>
      </c>
      <c r="L7">
        <v>864</v>
      </c>
      <c r="M7" t="s">
        <v>4</v>
      </c>
      <c r="O7">
        <v>1321.66</v>
      </c>
      <c r="P7">
        <f t="shared" si="1"/>
        <v>1.5296990740740741</v>
      </c>
    </row>
    <row r="8" spans="3:16" x14ac:dyDescent="0.25">
      <c r="C8" t="s">
        <v>13</v>
      </c>
      <c r="E8">
        <v>24.5</v>
      </c>
      <c r="F8" t="s">
        <v>6</v>
      </c>
      <c r="G8">
        <v>71.8</v>
      </c>
      <c r="H8" s="3">
        <f t="shared" si="0"/>
        <v>2.9306122448979592</v>
      </c>
      <c r="J8" t="s">
        <v>91</v>
      </c>
      <c r="L8">
        <v>220</v>
      </c>
      <c r="M8" t="s">
        <v>4</v>
      </c>
      <c r="O8">
        <v>322.95999999999998</v>
      </c>
      <c r="P8">
        <f t="shared" si="1"/>
        <v>1.468</v>
      </c>
    </row>
    <row r="9" spans="3:16" x14ac:dyDescent="0.25">
      <c r="C9" t="s">
        <v>71</v>
      </c>
      <c r="E9">
        <v>1818</v>
      </c>
      <c r="F9" t="s">
        <v>6</v>
      </c>
      <c r="G9">
        <v>1739.6</v>
      </c>
      <c r="H9" s="3">
        <f t="shared" si="0"/>
        <v>0.95687568756875685</v>
      </c>
    </row>
    <row r="10" spans="3:16" x14ac:dyDescent="0.25">
      <c r="C10" t="s">
        <v>51</v>
      </c>
      <c r="E10">
        <v>240</v>
      </c>
      <c r="F10" t="s">
        <v>6</v>
      </c>
      <c r="G10">
        <v>226.8</v>
      </c>
      <c r="H10" s="3">
        <f t="shared" si="0"/>
        <v>0.94500000000000006</v>
      </c>
    </row>
    <row r="11" spans="3:16" x14ac:dyDescent="0.25">
      <c r="C11" t="s">
        <v>87</v>
      </c>
      <c r="E11">
        <v>10</v>
      </c>
      <c r="F11" t="s">
        <v>6</v>
      </c>
      <c r="G11">
        <v>9.35</v>
      </c>
      <c r="H11" s="3">
        <f t="shared" si="0"/>
        <v>0.93499999999999994</v>
      </c>
    </row>
    <row r="12" spans="3:16" x14ac:dyDescent="0.25">
      <c r="C12" t="s">
        <v>87</v>
      </c>
      <c r="E12">
        <v>257</v>
      </c>
      <c r="F12" t="s">
        <v>6</v>
      </c>
      <c r="G12">
        <v>231</v>
      </c>
      <c r="H12" s="3">
        <f t="shared" si="0"/>
        <v>0.89883268482490275</v>
      </c>
    </row>
    <row r="13" spans="3:16" x14ac:dyDescent="0.25">
      <c r="C13" t="s">
        <v>22</v>
      </c>
      <c r="E13">
        <v>4</v>
      </c>
      <c r="F13" t="s">
        <v>23</v>
      </c>
      <c r="G13">
        <v>9.3699999999999992</v>
      </c>
      <c r="H13" s="3">
        <f t="shared" si="0"/>
        <v>2.3424999999999998</v>
      </c>
    </row>
    <row r="14" spans="3:16" x14ac:dyDescent="0.25">
      <c r="C14" t="s">
        <v>34</v>
      </c>
      <c r="E14">
        <v>1.6</v>
      </c>
      <c r="F14" t="s">
        <v>6</v>
      </c>
      <c r="G14">
        <v>11.53</v>
      </c>
      <c r="H14" s="3">
        <f t="shared" si="0"/>
        <v>7.2062499999999989</v>
      </c>
    </row>
    <row r="15" spans="3:16" x14ac:dyDescent="0.25">
      <c r="C15" t="s">
        <v>28</v>
      </c>
      <c r="E15">
        <v>4.9000000000000004</v>
      </c>
      <c r="F15" t="s">
        <v>2</v>
      </c>
      <c r="G15">
        <v>31.45</v>
      </c>
      <c r="H15" s="3">
        <f t="shared" si="0"/>
        <v>6.4183673469387745</v>
      </c>
      <c r="K15" t="s">
        <v>73</v>
      </c>
      <c r="M15">
        <v>16.600000000000001</v>
      </c>
      <c r="N15" t="s">
        <v>6</v>
      </c>
      <c r="O15">
        <v>74.77</v>
      </c>
      <c r="P15">
        <f t="shared" ref="P15:P28" si="2">O15/M15</f>
        <v>4.5042168674698786</v>
      </c>
    </row>
    <row r="16" spans="3:16" x14ac:dyDescent="0.25">
      <c r="C16" t="s">
        <v>47</v>
      </c>
      <c r="E16">
        <v>0.35</v>
      </c>
      <c r="F16" t="s">
        <v>6</v>
      </c>
      <c r="G16">
        <v>6.7</v>
      </c>
      <c r="H16" s="3">
        <f t="shared" si="0"/>
        <v>19.142857142857146</v>
      </c>
      <c r="K16" t="s">
        <v>52</v>
      </c>
      <c r="M16">
        <v>43</v>
      </c>
      <c r="N16" t="s">
        <v>4</v>
      </c>
      <c r="O16">
        <v>64.14</v>
      </c>
      <c r="P16">
        <f t="shared" si="2"/>
        <v>1.4916279069767442</v>
      </c>
    </row>
    <row r="17" spans="3:16" x14ac:dyDescent="0.25">
      <c r="C17" t="s">
        <v>72</v>
      </c>
      <c r="E17">
        <v>7</v>
      </c>
      <c r="F17" t="s">
        <v>4</v>
      </c>
      <c r="G17">
        <v>14.51</v>
      </c>
      <c r="H17" s="3">
        <f t="shared" si="0"/>
        <v>2.072857142857143</v>
      </c>
      <c r="K17" t="s">
        <v>54</v>
      </c>
      <c r="M17">
        <v>2</v>
      </c>
      <c r="N17" t="s">
        <v>23</v>
      </c>
      <c r="O17">
        <v>13</v>
      </c>
      <c r="P17">
        <f t="shared" si="2"/>
        <v>6.5</v>
      </c>
    </row>
    <row r="18" spans="3:16" x14ac:dyDescent="0.25">
      <c r="C18" t="s">
        <v>16</v>
      </c>
      <c r="E18">
        <v>14</v>
      </c>
      <c r="F18" t="s">
        <v>6</v>
      </c>
      <c r="G18">
        <v>44.84</v>
      </c>
      <c r="H18" s="3">
        <f t="shared" si="0"/>
        <v>3.2028571428571433</v>
      </c>
      <c r="K18" t="s">
        <v>50</v>
      </c>
      <c r="M18">
        <v>0.5</v>
      </c>
      <c r="N18" t="s">
        <v>6</v>
      </c>
      <c r="O18">
        <v>6.5</v>
      </c>
      <c r="P18">
        <f t="shared" si="2"/>
        <v>13</v>
      </c>
    </row>
    <row r="19" spans="3:16" x14ac:dyDescent="0.25">
      <c r="C19" t="s">
        <v>63</v>
      </c>
      <c r="E19">
        <v>1</v>
      </c>
      <c r="F19" t="s">
        <v>4</v>
      </c>
      <c r="G19">
        <v>2.06</v>
      </c>
      <c r="H19" s="3">
        <f t="shared" si="0"/>
        <v>2.06</v>
      </c>
      <c r="K19" t="s">
        <v>55</v>
      </c>
      <c r="M19">
        <v>69.5</v>
      </c>
      <c r="N19" t="s">
        <v>6</v>
      </c>
      <c r="O19">
        <v>315.26</v>
      </c>
      <c r="P19">
        <f t="shared" si="2"/>
        <v>4.5361151079136688</v>
      </c>
    </row>
    <row r="20" spans="3:16" x14ac:dyDescent="0.25">
      <c r="C20" t="s">
        <v>19</v>
      </c>
      <c r="E20">
        <f>30+60+570+105+30+15+45+105+30+30+210+135+105+105+225+105+30+45+1390+90</f>
        <v>3460</v>
      </c>
      <c r="F20" t="s">
        <v>6</v>
      </c>
      <c r="G20">
        <f>59.85+119.71+1194.58+209.5+59.86+29.93+878.32+179.57+59.86+59.85+418.97+269.36+179.56+209.49+448.93+209.49+59.86+89.79+2773.4+179.56</f>
        <v>7689.44</v>
      </c>
      <c r="H20" s="3">
        <f t="shared" si="0"/>
        <v>2.2223815028901734</v>
      </c>
      <c r="K20" t="s">
        <v>45</v>
      </c>
      <c r="M20">
        <v>1</v>
      </c>
      <c r="N20" t="s">
        <v>6</v>
      </c>
      <c r="O20">
        <v>40.42</v>
      </c>
      <c r="P20">
        <f t="shared" si="2"/>
        <v>40.42</v>
      </c>
    </row>
    <row r="21" spans="3:16" x14ac:dyDescent="0.25">
      <c r="C21" t="s">
        <v>69</v>
      </c>
      <c r="E21">
        <v>97</v>
      </c>
      <c r="F21" t="s">
        <v>6</v>
      </c>
      <c r="G21">
        <v>404.92</v>
      </c>
      <c r="H21" s="3">
        <f t="shared" si="0"/>
        <v>4.1744329896907217</v>
      </c>
      <c r="K21" t="s">
        <v>57</v>
      </c>
      <c r="M21">
        <v>1</v>
      </c>
      <c r="N21" t="s">
        <v>56</v>
      </c>
      <c r="O21">
        <v>34</v>
      </c>
      <c r="P21">
        <f t="shared" si="2"/>
        <v>34</v>
      </c>
    </row>
    <row r="22" spans="3:16" x14ac:dyDescent="0.25">
      <c r="C22" t="s">
        <v>32</v>
      </c>
      <c r="E22">
        <v>684.9</v>
      </c>
      <c r="F22" t="s">
        <v>6</v>
      </c>
      <c r="G22">
        <v>604.09</v>
      </c>
      <c r="H22" s="3">
        <f t="shared" si="0"/>
        <v>0.88201197255073738</v>
      </c>
      <c r="K22" t="s">
        <v>90</v>
      </c>
      <c r="M22">
        <v>37.5</v>
      </c>
      <c r="N22" t="s">
        <v>6</v>
      </c>
      <c r="O22">
        <v>170.42</v>
      </c>
      <c r="P22">
        <f t="shared" si="2"/>
        <v>4.5445333333333329</v>
      </c>
    </row>
    <row r="23" spans="3:16" x14ac:dyDescent="0.25">
      <c r="C23" t="s">
        <v>33</v>
      </c>
      <c r="E23">
        <v>54</v>
      </c>
      <c r="F23" t="s">
        <v>6</v>
      </c>
      <c r="G23">
        <v>81.08</v>
      </c>
      <c r="H23" s="3">
        <f t="shared" si="0"/>
        <v>1.5014814814814814</v>
      </c>
      <c r="K23" t="s">
        <v>41</v>
      </c>
      <c r="M23">
        <v>0.15</v>
      </c>
      <c r="N23" t="s">
        <v>6</v>
      </c>
      <c r="O23">
        <v>7.5</v>
      </c>
      <c r="P23">
        <f t="shared" si="2"/>
        <v>50</v>
      </c>
    </row>
    <row r="24" spans="3:16" x14ac:dyDescent="0.25">
      <c r="C24" t="s">
        <v>93</v>
      </c>
      <c r="E24">
        <f>77+197</f>
        <v>274</v>
      </c>
      <c r="F24" t="s">
        <v>6</v>
      </c>
      <c r="G24">
        <f>169.65+434.06</f>
        <v>603.71</v>
      </c>
      <c r="H24" s="3">
        <f t="shared" si="0"/>
        <v>2.2033211678832116</v>
      </c>
      <c r="K24" t="s">
        <v>76</v>
      </c>
      <c r="M24">
        <v>5.0999999999999996</v>
      </c>
      <c r="N24" t="s">
        <v>6</v>
      </c>
      <c r="O24">
        <v>24.4</v>
      </c>
      <c r="P24">
        <f t="shared" si="2"/>
        <v>4.784313725490196</v>
      </c>
    </row>
    <row r="25" spans="3:16" x14ac:dyDescent="0.25">
      <c r="C25" t="s">
        <v>60</v>
      </c>
      <c r="E25">
        <v>43</v>
      </c>
      <c r="F25" t="s">
        <v>4</v>
      </c>
      <c r="G25">
        <v>126.42</v>
      </c>
      <c r="H25" s="3">
        <f t="shared" si="0"/>
        <v>2.94</v>
      </c>
      <c r="K25" t="s">
        <v>77</v>
      </c>
      <c r="M25">
        <v>1.3</v>
      </c>
      <c r="N25" t="s">
        <v>4</v>
      </c>
      <c r="O25">
        <v>5.85</v>
      </c>
      <c r="P25">
        <f t="shared" si="2"/>
        <v>4.5</v>
      </c>
    </row>
    <row r="26" spans="3:16" x14ac:dyDescent="0.25">
      <c r="C26" t="s">
        <v>31</v>
      </c>
      <c r="E26">
        <v>664.3</v>
      </c>
      <c r="F26" t="s">
        <v>6</v>
      </c>
      <c r="G26">
        <v>1587.87</v>
      </c>
      <c r="H26" s="3">
        <f t="shared" si="0"/>
        <v>2.3902905313864218</v>
      </c>
      <c r="K26" t="s">
        <v>61</v>
      </c>
      <c r="M26">
        <v>1</v>
      </c>
      <c r="N26" t="s">
        <v>4</v>
      </c>
      <c r="O26">
        <v>3</v>
      </c>
      <c r="P26">
        <f t="shared" si="2"/>
        <v>3</v>
      </c>
    </row>
    <row r="27" spans="3:16" x14ac:dyDescent="0.25">
      <c r="C27" s="1" t="s">
        <v>67</v>
      </c>
      <c r="E27">
        <v>552</v>
      </c>
      <c r="F27" t="s">
        <v>4</v>
      </c>
      <c r="G27">
        <v>1623.47</v>
      </c>
      <c r="H27" s="3">
        <f t="shared" si="0"/>
        <v>2.9410688405797103</v>
      </c>
      <c r="K27" t="s">
        <v>46</v>
      </c>
      <c r="M27">
        <v>0.3</v>
      </c>
      <c r="N27" t="s">
        <v>6</v>
      </c>
      <c r="O27">
        <v>6.6</v>
      </c>
      <c r="P27">
        <f t="shared" si="2"/>
        <v>22</v>
      </c>
    </row>
    <row r="28" spans="3:16" x14ac:dyDescent="0.25">
      <c r="C28" t="s">
        <v>40</v>
      </c>
      <c r="E28">
        <v>15</v>
      </c>
      <c r="F28" t="s">
        <v>4</v>
      </c>
      <c r="G28">
        <v>33.08</v>
      </c>
      <c r="H28" s="3">
        <f t="shared" si="0"/>
        <v>2.2053333333333334</v>
      </c>
      <c r="K28" t="s">
        <v>59</v>
      </c>
      <c r="M28">
        <v>69</v>
      </c>
      <c r="N28" t="s">
        <v>6</v>
      </c>
      <c r="O28">
        <v>274.04000000000002</v>
      </c>
      <c r="P28">
        <f t="shared" si="2"/>
        <v>3.9715942028985509</v>
      </c>
    </row>
    <row r="29" spans="3:16" x14ac:dyDescent="0.25">
      <c r="C29" t="s">
        <v>5</v>
      </c>
      <c r="E29">
        <f>5+10</f>
        <v>15</v>
      </c>
      <c r="F29" t="s">
        <v>4</v>
      </c>
      <c r="G29">
        <v>39.96</v>
      </c>
      <c r="H29" s="3">
        <f t="shared" si="0"/>
        <v>2.6640000000000001</v>
      </c>
      <c r="P29" t="s">
        <v>74</v>
      </c>
    </row>
    <row r="30" spans="3:16" x14ac:dyDescent="0.25">
      <c r="C30" t="s">
        <v>29</v>
      </c>
      <c r="E30">
        <v>0.7</v>
      </c>
      <c r="F30" t="s">
        <v>6</v>
      </c>
      <c r="G30">
        <v>21.6</v>
      </c>
      <c r="H30" s="3">
        <f t="shared" si="0"/>
        <v>30.857142857142861</v>
      </c>
      <c r="P30" t="s">
        <v>74</v>
      </c>
    </row>
    <row r="31" spans="3:16" x14ac:dyDescent="0.25">
      <c r="C31" t="s">
        <v>18</v>
      </c>
      <c r="E31">
        <f>1+1</f>
        <v>2</v>
      </c>
      <c r="F31" t="s">
        <v>4</v>
      </c>
      <c r="G31">
        <f>2+6.17</f>
        <v>8.17</v>
      </c>
      <c r="H31" s="3">
        <f t="shared" si="0"/>
        <v>4.085</v>
      </c>
    </row>
    <row r="32" spans="3:16" x14ac:dyDescent="0.25">
      <c r="C32" t="s">
        <v>35</v>
      </c>
      <c r="E32">
        <v>14</v>
      </c>
      <c r="F32" t="s">
        <v>4</v>
      </c>
      <c r="G32">
        <v>91</v>
      </c>
      <c r="H32" s="3">
        <f t="shared" si="0"/>
        <v>6.5</v>
      </c>
    </row>
    <row r="33" spans="3:11" x14ac:dyDescent="0.25">
      <c r="C33" t="s">
        <v>25</v>
      </c>
      <c r="E33">
        <f>40+2995+12</f>
        <v>3047</v>
      </c>
      <c r="F33" t="s">
        <v>6</v>
      </c>
      <c r="G33">
        <f>47.88+3589.23+18.38</f>
        <v>3655.4900000000002</v>
      </c>
      <c r="H33" s="3">
        <f t="shared" si="0"/>
        <v>1.1997013455858221</v>
      </c>
    </row>
    <row r="34" spans="3:11" x14ac:dyDescent="0.25">
      <c r="C34" t="s">
        <v>62</v>
      </c>
      <c r="E34">
        <v>450</v>
      </c>
      <c r="F34" t="s">
        <v>6</v>
      </c>
      <c r="G34">
        <v>1152.79</v>
      </c>
      <c r="H34" s="3">
        <f t="shared" ref="H34:H64" si="3">G34/E34</f>
        <v>2.5617555555555556</v>
      </c>
    </row>
    <row r="35" spans="3:11" x14ac:dyDescent="0.25">
      <c r="C35" t="s">
        <v>44</v>
      </c>
      <c r="E35">
        <v>10</v>
      </c>
      <c r="F35" t="s">
        <v>6</v>
      </c>
      <c r="G35">
        <v>26.25</v>
      </c>
      <c r="H35" s="3">
        <f t="shared" si="3"/>
        <v>2.625</v>
      </c>
      <c r="K35" t="s">
        <v>74</v>
      </c>
    </row>
    <row r="36" spans="3:11" x14ac:dyDescent="0.25">
      <c r="C36" t="s">
        <v>8</v>
      </c>
      <c r="E36">
        <v>188</v>
      </c>
      <c r="F36" t="s">
        <v>6</v>
      </c>
      <c r="G36">
        <v>712.87</v>
      </c>
      <c r="H36" s="3">
        <f t="shared" si="3"/>
        <v>3.7918617021276595</v>
      </c>
    </row>
    <row r="37" spans="3:11" x14ac:dyDescent="0.25">
      <c r="C37" t="s">
        <v>24</v>
      </c>
      <c r="E37">
        <v>68</v>
      </c>
      <c r="F37" t="s">
        <v>23</v>
      </c>
      <c r="G37">
        <v>233.73</v>
      </c>
      <c r="H37" s="3">
        <f t="shared" si="3"/>
        <v>3.437205882352941</v>
      </c>
    </row>
    <row r="38" spans="3:11" x14ac:dyDescent="0.25">
      <c r="C38" t="s">
        <v>17</v>
      </c>
      <c r="E38">
        <f>483.6+30.5+141</f>
        <v>655.1</v>
      </c>
      <c r="F38" t="s">
        <v>6</v>
      </c>
      <c r="G38">
        <f>2021.83+99.07+704.75</f>
        <v>2825.65</v>
      </c>
      <c r="H38" s="3">
        <f t="shared" si="3"/>
        <v>4.3133109448939093</v>
      </c>
      <c r="K38">
        <f>9*15</f>
        <v>135</v>
      </c>
    </row>
    <row r="39" spans="3:11" x14ac:dyDescent="0.25">
      <c r="C39" t="s">
        <v>82</v>
      </c>
      <c r="E39">
        <v>27</v>
      </c>
      <c r="F39" t="s">
        <v>6</v>
      </c>
      <c r="G39">
        <v>131.22</v>
      </c>
      <c r="H39" s="3">
        <f t="shared" si="3"/>
        <v>4.8600000000000003</v>
      </c>
      <c r="K39">
        <f>6*15</f>
        <v>90</v>
      </c>
    </row>
    <row r="40" spans="3:11" x14ac:dyDescent="0.25">
      <c r="C40" t="s">
        <v>41</v>
      </c>
      <c r="E40">
        <v>0.35</v>
      </c>
      <c r="F40" t="s">
        <v>6</v>
      </c>
      <c r="G40">
        <v>9.4</v>
      </c>
      <c r="H40" s="3">
        <f t="shared" si="3"/>
        <v>26.857142857142861</v>
      </c>
      <c r="K40">
        <f>15*15</f>
        <v>225</v>
      </c>
    </row>
    <row r="41" spans="3:11" x14ac:dyDescent="0.25">
      <c r="C41" t="s">
        <v>26</v>
      </c>
      <c r="E41">
        <f>81.5+3+15+86.1</f>
        <v>185.6</v>
      </c>
      <c r="F41" t="s">
        <v>6</v>
      </c>
      <c r="G41">
        <f>498.41+21.01+75.76+628.9</f>
        <v>1224.08</v>
      </c>
      <c r="H41" s="3">
        <f t="shared" si="3"/>
        <v>6.5952586206896546</v>
      </c>
    </row>
    <row r="42" spans="3:11" x14ac:dyDescent="0.25">
      <c r="C42" t="s">
        <v>11</v>
      </c>
      <c r="E42">
        <v>1</v>
      </c>
      <c r="F42" t="s">
        <v>6</v>
      </c>
      <c r="G42">
        <v>4.8</v>
      </c>
      <c r="H42" s="3">
        <f t="shared" si="3"/>
        <v>4.8</v>
      </c>
    </row>
    <row r="43" spans="3:11" x14ac:dyDescent="0.25">
      <c r="C43" t="s">
        <v>53</v>
      </c>
      <c r="E43">
        <f>36+188</f>
        <v>224</v>
      </c>
      <c r="F43" t="s">
        <v>6</v>
      </c>
      <c r="G43">
        <f>165.13+1024.67</f>
        <v>1189.8000000000002</v>
      </c>
      <c r="H43" s="3">
        <f t="shared" si="3"/>
        <v>5.3116071428571434</v>
      </c>
    </row>
    <row r="44" spans="3:11" x14ac:dyDescent="0.25">
      <c r="C44" t="s">
        <v>89</v>
      </c>
      <c r="E44">
        <v>80</v>
      </c>
      <c r="F44" t="s">
        <v>6</v>
      </c>
      <c r="G44">
        <v>258.95999999999998</v>
      </c>
      <c r="H44" s="3">
        <f t="shared" si="3"/>
        <v>3.2369999999999997</v>
      </c>
    </row>
    <row r="45" spans="3:11" x14ac:dyDescent="0.25">
      <c r="C45" t="s">
        <v>86</v>
      </c>
      <c r="E45">
        <v>5</v>
      </c>
      <c r="F45" t="s">
        <v>4</v>
      </c>
      <c r="G45">
        <v>7.35</v>
      </c>
      <c r="H45" s="3">
        <f t="shared" si="3"/>
        <v>1.47</v>
      </c>
    </row>
    <row r="46" spans="3:11" x14ac:dyDescent="0.25">
      <c r="C46" t="s">
        <v>48</v>
      </c>
      <c r="E46">
        <v>1729</v>
      </c>
      <c r="F46" t="s">
        <v>6</v>
      </c>
      <c r="G46">
        <v>8227.8700000000008</v>
      </c>
      <c r="H46" s="3">
        <f t="shared" si="3"/>
        <v>4.7587449392712555</v>
      </c>
    </row>
    <row r="47" spans="3:11" x14ac:dyDescent="0.25">
      <c r="C47" t="s">
        <v>88</v>
      </c>
      <c r="E47">
        <v>6</v>
      </c>
      <c r="F47" t="s">
        <v>6</v>
      </c>
      <c r="G47">
        <v>40.82</v>
      </c>
      <c r="H47" s="3">
        <f t="shared" si="3"/>
        <v>6.8033333333333337</v>
      </c>
    </row>
    <row r="48" spans="3:11" x14ac:dyDescent="0.25">
      <c r="C48" t="s">
        <v>10</v>
      </c>
      <c r="E48">
        <f>308.5+100.7+37.5+36</f>
        <v>482.7</v>
      </c>
      <c r="F48" t="s">
        <v>6</v>
      </c>
      <c r="G48">
        <f>1480.33+483.21+179.95+172.74</f>
        <v>2316.2299999999996</v>
      </c>
      <c r="H48" s="3">
        <f t="shared" si="3"/>
        <v>4.7984876735032103</v>
      </c>
    </row>
    <row r="49" spans="3:8" x14ac:dyDescent="0.25">
      <c r="C49" t="s">
        <v>1</v>
      </c>
      <c r="E49">
        <v>24</v>
      </c>
      <c r="F49" t="s">
        <v>6</v>
      </c>
      <c r="G49">
        <v>115.16</v>
      </c>
      <c r="H49" s="3">
        <f t="shared" si="3"/>
        <v>4.7983333333333329</v>
      </c>
    </row>
    <row r="50" spans="3:8" x14ac:dyDescent="0.25">
      <c r="C50" t="s">
        <v>68</v>
      </c>
      <c r="E50">
        <v>28.9</v>
      </c>
      <c r="F50" t="s">
        <v>6</v>
      </c>
      <c r="G50">
        <f>110.33</f>
        <v>110.33</v>
      </c>
      <c r="H50" s="3">
        <f t="shared" si="3"/>
        <v>3.8176470588235296</v>
      </c>
    </row>
    <row r="51" spans="3:8" x14ac:dyDescent="0.25">
      <c r="C51" s="1" t="s">
        <v>21</v>
      </c>
      <c r="E51">
        <v>2</v>
      </c>
      <c r="F51" t="s">
        <v>4</v>
      </c>
      <c r="G51">
        <v>8.3000000000000007</v>
      </c>
      <c r="H51" s="3">
        <f t="shared" si="3"/>
        <v>4.1500000000000004</v>
      </c>
    </row>
    <row r="52" spans="3:8" x14ac:dyDescent="0.25">
      <c r="C52" t="s">
        <v>36</v>
      </c>
      <c r="E52">
        <v>131.19999999999999</v>
      </c>
      <c r="F52" t="s">
        <v>6</v>
      </c>
      <c r="G52">
        <v>458.76</v>
      </c>
      <c r="H52" s="3">
        <f t="shared" si="3"/>
        <v>3.496646341463415</v>
      </c>
    </row>
    <row r="53" spans="3:8" x14ac:dyDescent="0.25">
      <c r="C53" t="s">
        <v>65</v>
      </c>
      <c r="E53">
        <v>1188</v>
      </c>
      <c r="F53" t="s">
        <v>4</v>
      </c>
      <c r="G53">
        <v>1823.8</v>
      </c>
      <c r="H53" s="3">
        <f t="shared" si="3"/>
        <v>1.5351851851851852</v>
      </c>
    </row>
    <row r="54" spans="3:8" x14ac:dyDescent="0.25">
      <c r="C54" t="s">
        <v>49</v>
      </c>
      <c r="E54">
        <v>312</v>
      </c>
      <c r="F54" t="s">
        <v>4</v>
      </c>
      <c r="G54">
        <v>878.32</v>
      </c>
      <c r="H54" s="3">
        <f t="shared" si="3"/>
        <v>2.8151282051282052</v>
      </c>
    </row>
    <row r="55" spans="3:8" x14ac:dyDescent="0.25">
      <c r="C55" t="s">
        <v>27</v>
      </c>
      <c r="E55">
        <v>666</v>
      </c>
      <c r="F55" t="s">
        <v>4</v>
      </c>
      <c r="G55">
        <v>1374.45</v>
      </c>
      <c r="H55" s="3">
        <f t="shared" si="3"/>
        <v>2.0637387387387389</v>
      </c>
    </row>
    <row r="56" spans="3:8" x14ac:dyDescent="0.25">
      <c r="C56" t="s">
        <v>64</v>
      </c>
      <c r="E56">
        <v>1444</v>
      </c>
      <c r="F56" t="s">
        <v>4</v>
      </c>
      <c r="G56">
        <v>2935.63</v>
      </c>
      <c r="H56" s="3">
        <f t="shared" si="3"/>
        <v>2.0329847645429364</v>
      </c>
    </row>
    <row r="57" spans="3:8" x14ac:dyDescent="0.25">
      <c r="C57" t="s">
        <v>58</v>
      </c>
      <c r="E57">
        <v>250</v>
      </c>
      <c r="F57" t="s">
        <v>6</v>
      </c>
      <c r="G57">
        <v>634.96</v>
      </c>
      <c r="H57" s="3">
        <f t="shared" si="3"/>
        <v>2.5398400000000003</v>
      </c>
    </row>
    <row r="58" spans="3:8" x14ac:dyDescent="0.25">
      <c r="C58" t="s">
        <v>9</v>
      </c>
      <c r="E58">
        <v>20</v>
      </c>
      <c r="F58" t="s">
        <v>4</v>
      </c>
      <c r="G58">
        <v>4.8</v>
      </c>
      <c r="H58" s="3">
        <f t="shared" si="3"/>
        <v>0.24</v>
      </c>
    </row>
    <row r="59" spans="3:8" x14ac:dyDescent="0.25">
      <c r="C59" s="2" t="s">
        <v>70</v>
      </c>
      <c r="E59">
        <v>3.6</v>
      </c>
      <c r="F59" t="s">
        <v>4</v>
      </c>
      <c r="G59">
        <v>30.24</v>
      </c>
      <c r="H59" s="3">
        <f t="shared" si="3"/>
        <v>8.3999999999999986</v>
      </c>
    </row>
    <row r="60" spans="3:8" x14ac:dyDescent="0.25">
      <c r="C60" t="s">
        <v>66</v>
      </c>
      <c r="E60">
        <v>0.8</v>
      </c>
      <c r="F60" t="s">
        <v>6</v>
      </c>
      <c r="G60">
        <v>8</v>
      </c>
      <c r="H60" s="3">
        <f t="shared" si="3"/>
        <v>10</v>
      </c>
    </row>
    <row r="61" spans="3:8" x14ac:dyDescent="0.25">
      <c r="C61" t="s">
        <v>20</v>
      </c>
      <c r="E61">
        <v>2</v>
      </c>
      <c r="F61" t="s">
        <v>6</v>
      </c>
      <c r="G61">
        <v>18.8</v>
      </c>
      <c r="H61" s="3">
        <f t="shared" si="3"/>
        <v>9.4</v>
      </c>
    </row>
    <row r="62" spans="3:8" x14ac:dyDescent="0.25">
      <c r="C62" t="s">
        <v>15</v>
      </c>
      <c r="E62">
        <f>10375+8070</f>
        <v>18445</v>
      </c>
      <c r="F62" t="s">
        <v>6</v>
      </c>
      <c r="G62">
        <f>11390+6535.62</f>
        <v>17925.62</v>
      </c>
      <c r="H62" s="3">
        <f t="shared" si="3"/>
        <v>0.97184169151531574</v>
      </c>
    </row>
    <row r="63" spans="3:8" x14ac:dyDescent="0.25">
      <c r="C63" t="s">
        <v>85</v>
      </c>
      <c r="E63">
        <v>962.4</v>
      </c>
      <c r="F63" t="s">
        <v>6</v>
      </c>
      <c r="G63">
        <v>1439.95</v>
      </c>
      <c r="H63" s="3">
        <f t="shared" si="3"/>
        <v>1.4962073981712387</v>
      </c>
    </row>
    <row r="64" spans="3:8" x14ac:dyDescent="0.25">
      <c r="C64" t="s">
        <v>84</v>
      </c>
      <c r="E64">
        <v>60</v>
      </c>
      <c r="F64" t="s">
        <v>6</v>
      </c>
      <c r="G64">
        <v>47.88</v>
      </c>
      <c r="H64" s="3">
        <f t="shared" si="3"/>
        <v>0.79800000000000004</v>
      </c>
    </row>
    <row r="66" spans="5:5" x14ac:dyDescent="0.25">
      <c r="E66" t="s">
        <v>92</v>
      </c>
    </row>
  </sheetData>
  <autoFilter ref="C2:C64" xr:uid="{00000000-0009-0000-0000-000000000000}"/>
  <sortState xmlns:xlrd2="http://schemas.microsoft.com/office/spreadsheetml/2017/richdata2" ref="J2:P8">
    <sortCondition ref="K2:K8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2"/>
  <sheetViews>
    <sheetView topLeftCell="E1" workbookViewId="0">
      <selection activeCell="S8" sqref="S8"/>
    </sheetView>
  </sheetViews>
  <sheetFormatPr defaultRowHeight="15" x14ac:dyDescent="0.25"/>
  <cols>
    <col min="2" max="2" width="35.28515625" bestFit="1" customWidth="1"/>
    <col min="3" max="3" width="20.140625" bestFit="1" customWidth="1"/>
    <col min="4" max="4" width="20.140625" customWidth="1"/>
    <col min="5" max="5" width="16.140625" bestFit="1" customWidth="1"/>
    <col min="8" max="8" width="10" bestFit="1" customWidth="1"/>
    <col min="10" max="10" width="15" bestFit="1" customWidth="1"/>
    <col min="11" max="11" width="15" customWidth="1"/>
    <col min="12" max="12" width="10.42578125" bestFit="1" customWidth="1"/>
    <col min="13" max="13" width="11.140625" bestFit="1" customWidth="1"/>
    <col min="14" max="14" width="13.28515625" bestFit="1" customWidth="1"/>
    <col min="15" max="16" width="13.28515625" customWidth="1"/>
    <col min="17" max="17" width="14" bestFit="1" customWidth="1"/>
    <col min="18" max="18" width="0" hidden="1" customWidth="1"/>
    <col min="21" max="21" width="13" customWidth="1"/>
    <col min="22" max="22" width="12.7109375" customWidth="1"/>
  </cols>
  <sheetData>
    <row r="1" spans="1:22" x14ac:dyDescent="0.25">
      <c r="A1" t="s">
        <v>94</v>
      </c>
    </row>
    <row r="2" spans="1:22" ht="15.75" thickBot="1" x14ac:dyDescent="0.3">
      <c r="E2" s="9" t="s">
        <v>124</v>
      </c>
    </row>
    <row r="3" spans="1:22" x14ac:dyDescent="0.25">
      <c r="B3" s="50" t="s">
        <v>95</v>
      </c>
      <c r="C3" s="52" t="s">
        <v>96</v>
      </c>
      <c r="D3" s="20"/>
      <c r="E3" s="50" t="s">
        <v>97</v>
      </c>
      <c r="F3" s="52"/>
      <c r="G3" s="52"/>
      <c r="H3" s="52"/>
      <c r="I3" s="54"/>
      <c r="J3" s="25"/>
      <c r="K3" s="18"/>
    </row>
    <row r="4" spans="1:22" ht="45.75" thickBot="1" x14ac:dyDescent="0.3">
      <c r="B4" s="51"/>
      <c r="C4" s="53"/>
      <c r="D4" s="26"/>
      <c r="E4" s="55"/>
      <c r="F4" s="56"/>
      <c r="G4" s="56"/>
      <c r="H4" s="56"/>
      <c r="I4" s="57"/>
      <c r="J4" s="31" t="s">
        <v>142</v>
      </c>
      <c r="K4" s="24" t="s">
        <v>135</v>
      </c>
      <c r="L4" s="21" t="s">
        <v>126</v>
      </c>
      <c r="M4" s="21" t="s">
        <v>127</v>
      </c>
      <c r="N4" s="21" t="s">
        <v>128</v>
      </c>
      <c r="O4" s="21" t="s">
        <v>130</v>
      </c>
      <c r="P4" s="21" t="s">
        <v>131</v>
      </c>
      <c r="Q4" s="21" t="s">
        <v>129</v>
      </c>
      <c r="R4" s="21" t="s">
        <v>129</v>
      </c>
      <c r="S4" s="21" t="s">
        <v>144</v>
      </c>
      <c r="U4" s="23" t="s">
        <v>145</v>
      </c>
      <c r="V4" s="23" t="s">
        <v>133</v>
      </c>
    </row>
    <row r="5" spans="1:22" x14ac:dyDescent="0.25">
      <c r="B5" s="5"/>
      <c r="C5" s="11"/>
      <c r="D5" s="27" t="s">
        <v>137</v>
      </c>
      <c r="E5" s="14" t="s">
        <v>141</v>
      </c>
      <c r="F5" s="12" t="s">
        <v>99</v>
      </c>
      <c r="G5" s="6" t="s">
        <v>100</v>
      </c>
      <c r="H5" s="6" t="s">
        <v>136</v>
      </c>
      <c r="I5" s="29" t="s">
        <v>102</v>
      </c>
      <c r="J5" s="30"/>
      <c r="K5" s="19"/>
      <c r="U5" s="23"/>
    </row>
    <row r="6" spans="1:22" x14ac:dyDescent="0.25">
      <c r="A6">
        <v>1</v>
      </c>
      <c r="B6" s="5" t="s">
        <v>103</v>
      </c>
      <c r="C6" s="11"/>
      <c r="D6" s="30">
        <v>1920</v>
      </c>
      <c r="E6" s="30">
        <v>1140</v>
      </c>
      <c r="F6" s="13"/>
      <c r="G6" s="5"/>
      <c r="H6" s="5"/>
      <c r="I6" s="11">
        <f>E6+F6+G6+H6</f>
        <v>1140</v>
      </c>
      <c r="J6" s="30">
        <f>E6+D6</f>
        <v>3060</v>
      </c>
      <c r="K6" s="19">
        <f>E6*4</f>
        <v>4560</v>
      </c>
      <c r="L6" s="3">
        <v>0.48</v>
      </c>
      <c r="M6" s="3">
        <v>0.5</v>
      </c>
      <c r="N6">
        <f>K6*L6</f>
        <v>2188.7999999999997</v>
      </c>
      <c r="O6" s="22">
        <v>0.05</v>
      </c>
      <c r="P6">
        <f>N6*O6</f>
        <v>109.44</v>
      </c>
      <c r="Q6">
        <f>K6*M6</f>
        <v>2280</v>
      </c>
      <c r="R6">
        <f>N6+P6</f>
        <v>2298.2399999999998</v>
      </c>
      <c r="S6">
        <f>J6*M6</f>
        <v>1530</v>
      </c>
      <c r="U6" s="32">
        <f>M6*0.05</f>
        <v>2.5000000000000001E-2</v>
      </c>
      <c r="V6" s="32">
        <f>M6-U6</f>
        <v>0.47499999999999998</v>
      </c>
    </row>
    <row r="7" spans="1:22" x14ac:dyDescent="0.25">
      <c r="A7">
        <v>2</v>
      </c>
      <c r="B7" s="5" t="s">
        <v>104</v>
      </c>
      <c r="C7" s="11"/>
      <c r="D7" s="30">
        <f>5329-D6</f>
        <v>3409</v>
      </c>
      <c r="E7" s="30">
        <v>930</v>
      </c>
      <c r="F7" s="13"/>
      <c r="G7" s="5"/>
      <c r="H7" s="5"/>
      <c r="I7" s="11">
        <f t="shared" ref="I7:I27" si="0">E7+F7+G7+H7</f>
        <v>930</v>
      </c>
      <c r="J7" s="30">
        <f t="shared" ref="J7:J28" si="1">E7+D7</f>
        <v>4339</v>
      </c>
      <c r="K7" s="19">
        <f t="shared" ref="K7:K26" si="2">E7*4</f>
        <v>3720</v>
      </c>
      <c r="L7" s="3">
        <v>0.57999999999999996</v>
      </c>
      <c r="M7" s="3">
        <v>0.61</v>
      </c>
      <c r="N7">
        <f t="shared" ref="N7:N8" si="3">K7*L7</f>
        <v>2157.6</v>
      </c>
      <c r="O7" s="22">
        <v>0.05</v>
      </c>
      <c r="P7">
        <f t="shared" ref="P7:P27" si="4">N7*O7</f>
        <v>107.88</v>
      </c>
      <c r="Q7">
        <f t="shared" ref="Q7:Q26" si="5">K7*M7</f>
        <v>2269.1999999999998</v>
      </c>
      <c r="R7">
        <f t="shared" ref="R7:R25" si="6">N7+P7</f>
        <v>2265.48</v>
      </c>
      <c r="S7">
        <f t="shared" ref="S7:S28" si="7">J7*M7</f>
        <v>2646.79</v>
      </c>
      <c r="U7" s="32">
        <f t="shared" ref="U7:U13" si="8">M7*0.05</f>
        <v>3.0499999999999999E-2</v>
      </c>
      <c r="V7" s="32">
        <f t="shared" ref="V7:V13" si="9">M7-U7</f>
        <v>0.57950000000000002</v>
      </c>
    </row>
    <row r="8" spans="1:22" x14ac:dyDescent="0.25">
      <c r="A8">
        <v>3</v>
      </c>
      <c r="B8" s="5" t="s">
        <v>105</v>
      </c>
      <c r="C8" s="11"/>
      <c r="D8" s="30">
        <v>7700</v>
      </c>
      <c r="E8" s="30">
        <v>2859</v>
      </c>
      <c r="F8" s="13"/>
      <c r="G8" s="5"/>
      <c r="H8" s="5"/>
      <c r="I8" s="11">
        <f t="shared" si="0"/>
        <v>2859</v>
      </c>
      <c r="J8" s="30">
        <f t="shared" si="1"/>
        <v>10559</v>
      </c>
      <c r="K8" s="19">
        <f t="shared" si="2"/>
        <v>11436</v>
      </c>
      <c r="L8" s="3">
        <v>4.7</v>
      </c>
      <c r="M8" s="3">
        <v>4.93</v>
      </c>
      <c r="N8">
        <f t="shared" si="3"/>
        <v>53749.200000000004</v>
      </c>
      <c r="O8" s="22">
        <v>0.05</v>
      </c>
      <c r="P8">
        <f t="shared" si="4"/>
        <v>2687.4600000000005</v>
      </c>
      <c r="Q8">
        <f t="shared" si="5"/>
        <v>56379.479999999996</v>
      </c>
      <c r="R8">
        <f t="shared" si="6"/>
        <v>56436.66</v>
      </c>
      <c r="S8">
        <f t="shared" si="7"/>
        <v>52055.869999999995</v>
      </c>
      <c r="U8" s="32">
        <f t="shared" si="8"/>
        <v>0.2465</v>
      </c>
      <c r="V8" s="32">
        <f t="shared" si="9"/>
        <v>4.6834999999999996</v>
      </c>
    </row>
    <row r="9" spans="1:22" x14ac:dyDescent="0.25">
      <c r="A9">
        <v>4</v>
      </c>
      <c r="B9" s="5" t="s">
        <v>106</v>
      </c>
      <c r="C9" s="11"/>
      <c r="D9" s="30">
        <v>4875</v>
      </c>
      <c r="E9" s="30">
        <v>4875</v>
      </c>
      <c r="F9" s="13"/>
      <c r="G9" s="5"/>
      <c r="H9" s="5"/>
      <c r="I9" s="11">
        <f t="shared" si="0"/>
        <v>4875</v>
      </c>
      <c r="J9" s="30">
        <f t="shared" si="1"/>
        <v>9750</v>
      </c>
      <c r="K9" s="19">
        <f t="shared" si="2"/>
        <v>19500</v>
      </c>
      <c r="L9" s="3">
        <v>1.53</v>
      </c>
      <c r="M9" s="3">
        <v>1.61</v>
      </c>
      <c r="N9">
        <f>K9*L9</f>
        <v>29835</v>
      </c>
      <c r="O9" s="22">
        <v>0.05</v>
      </c>
      <c r="P9">
        <f t="shared" si="4"/>
        <v>1491.75</v>
      </c>
      <c r="Q9">
        <f t="shared" si="5"/>
        <v>31395.000000000004</v>
      </c>
      <c r="R9">
        <f t="shared" si="6"/>
        <v>31326.75</v>
      </c>
      <c r="S9">
        <f t="shared" si="7"/>
        <v>15697.500000000002</v>
      </c>
      <c r="U9" s="32">
        <f t="shared" si="8"/>
        <v>8.0500000000000016E-2</v>
      </c>
      <c r="V9" s="32">
        <f t="shared" si="9"/>
        <v>1.5295000000000001</v>
      </c>
    </row>
    <row r="10" spans="1:22" x14ac:dyDescent="0.25">
      <c r="A10">
        <v>5</v>
      </c>
      <c r="B10" s="5" t="s">
        <v>107</v>
      </c>
      <c r="C10" s="11"/>
      <c r="D10" s="30"/>
      <c r="E10" s="30">
        <v>150</v>
      </c>
      <c r="F10" s="13"/>
      <c r="G10" s="5"/>
      <c r="H10" s="5"/>
      <c r="I10" s="11">
        <f t="shared" si="0"/>
        <v>150</v>
      </c>
      <c r="J10" s="30">
        <f t="shared" si="1"/>
        <v>150</v>
      </c>
      <c r="K10" s="19">
        <f t="shared" si="2"/>
        <v>600</v>
      </c>
      <c r="L10" s="3">
        <v>0.95</v>
      </c>
      <c r="M10" s="3"/>
      <c r="N10">
        <f t="shared" ref="N10:N28" si="10">K10*L10</f>
        <v>570</v>
      </c>
      <c r="O10" s="22">
        <v>0.05</v>
      </c>
      <c r="P10">
        <f t="shared" si="4"/>
        <v>28.5</v>
      </c>
      <c r="Q10">
        <f t="shared" si="5"/>
        <v>0</v>
      </c>
      <c r="R10">
        <f t="shared" si="6"/>
        <v>598.5</v>
      </c>
      <c r="S10">
        <f t="shared" si="7"/>
        <v>0</v>
      </c>
      <c r="U10" s="32">
        <f t="shared" si="8"/>
        <v>0</v>
      </c>
      <c r="V10" s="32">
        <f t="shared" si="9"/>
        <v>0</v>
      </c>
    </row>
    <row r="11" spans="1:22" x14ac:dyDescent="0.25">
      <c r="A11">
        <v>6</v>
      </c>
      <c r="B11" s="5" t="s">
        <v>108</v>
      </c>
      <c r="C11" s="11" t="s">
        <v>109</v>
      </c>
      <c r="D11" s="30">
        <v>1475</v>
      </c>
      <c r="E11" s="30">
        <v>760</v>
      </c>
      <c r="F11" s="13"/>
      <c r="G11" s="5"/>
      <c r="H11" s="5"/>
      <c r="I11" s="11">
        <f t="shared" si="0"/>
        <v>760</v>
      </c>
      <c r="J11" s="30">
        <f t="shared" si="1"/>
        <v>2235</v>
      </c>
      <c r="K11" s="19">
        <f t="shared" si="2"/>
        <v>3040</v>
      </c>
      <c r="L11" s="3">
        <v>2.77</v>
      </c>
      <c r="M11" s="3">
        <v>2.91</v>
      </c>
      <c r="N11">
        <f t="shared" si="10"/>
        <v>8420.7999999999993</v>
      </c>
      <c r="O11" s="22">
        <v>0.05</v>
      </c>
      <c r="P11">
        <f t="shared" si="4"/>
        <v>421.03999999999996</v>
      </c>
      <c r="Q11">
        <f t="shared" si="5"/>
        <v>8846.4</v>
      </c>
      <c r="R11">
        <f t="shared" si="6"/>
        <v>8841.84</v>
      </c>
      <c r="S11">
        <f t="shared" si="7"/>
        <v>6503.85</v>
      </c>
      <c r="U11" s="32">
        <f t="shared" si="8"/>
        <v>0.14550000000000002</v>
      </c>
      <c r="V11" s="32">
        <f t="shared" si="9"/>
        <v>2.7645</v>
      </c>
    </row>
    <row r="12" spans="1:22" x14ac:dyDescent="0.25">
      <c r="A12">
        <v>7</v>
      </c>
      <c r="B12" s="5" t="s">
        <v>110</v>
      </c>
      <c r="C12" s="11"/>
      <c r="D12" s="30"/>
      <c r="E12" s="30"/>
      <c r="F12" s="13"/>
      <c r="G12" s="5"/>
      <c r="H12" s="5"/>
      <c r="I12" s="11">
        <f t="shared" si="0"/>
        <v>0</v>
      </c>
      <c r="J12" s="30">
        <f t="shared" si="1"/>
        <v>0</v>
      </c>
      <c r="K12" s="19">
        <f t="shared" si="2"/>
        <v>0</v>
      </c>
      <c r="L12" s="3"/>
      <c r="M12" s="3"/>
      <c r="N12">
        <f t="shared" si="10"/>
        <v>0</v>
      </c>
      <c r="O12" s="22">
        <v>0.05</v>
      </c>
      <c r="P12">
        <f t="shared" si="4"/>
        <v>0</v>
      </c>
      <c r="Q12">
        <f t="shared" si="5"/>
        <v>0</v>
      </c>
      <c r="R12">
        <f t="shared" si="6"/>
        <v>0</v>
      </c>
      <c r="S12">
        <f t="shared" si="7"/>
        <v>0</v>
      </c>
      <c r="U12" s="32">
        <f t="shared" si="8"/>
        <v>0</v>
      </c>
      <c r="V12" s="32">
        <f t="shared" si="9"/>
        <v>0</v>
      </c>
    </row>
    <row r="13" spans="1:22" x14ac:dyDescent="0.25">
      <c r="A13">
        <v>8</v>
      </c>
      <c r="B13" s="5" t="s">
        <v>111</v>
      </c>
      <c r="C13" s="11"/>
      <c r="D13" s="30">
        <v>690</v>
      </c>
      <c r="E13" s="30">
        <v>270</v>
      </c>
      <c r="F13" s="13"/>
      <c r="G13" s="5"/>
      <c r="H13" s="5"/>
      <c r="I13" s="11">
        <f t="shared" si="0"/>
        <v>270</v>
      </c>
      <c r="J13" s="30">
        <f t="shared" si="1"/>
        <v>960</v>
      </c>
      <c r="K13" s="19">
        <f t="shared" si="2"/>
        <v>1080</v>
      </c>
      <c r="L13" s="3">
        <v>1.38</v>
      </c>
      <c r="M13" s="3">
        <v>2.2400000000000002</v>
      </c>
      <c r="N13">
        <f t="shared" si="10"/>
        <v>1490.3999999999999</v>
      </c>
      <c r="O13" s="22">
        <v>0.05</v>
      </c>
      <c r="P13">
        <f t="shared" si="4"/>
        <v>74.52</v>
      </c>
      <c r="Q13">
        <f>K13*M13</f>
        <v>2419.2000000000003</v>
      </c>
      <c r="R13">
        <f t="shared" si="6"/>
        <v>1564.9199999999998</v>
      </c>
      <c r="S13">
        <f t="shared" si="7"/>
        <v>2150.4</v>
      </c>
      <c r="U13" s="32">
        <f t="shared" si="8"/>
        <v>0.11200000000000002</v>
      </c>
      <c r="V13" s="32">
        <f t="shared" si="9"/>
        <v>2.1280000000000001</v>
      </c>
    </row>
    <row r="14" spans="1:22" x14ac:dyDescent="0.25">
      <c r="A14">
        <v>9</v>
      </c>
      <c r="B14" s="5" t="s">
        <v>112</v>
      </c>
      <c r="C14" s="11" t="s">
        <v>113</v>
      </c>
      <c r="D14" s="30">
        <v>416</v>
      </c>
      <c r="E14" s="30">
        <v>50</v>
      </c>
      <c r="F14" s="13"/>
      <c r="G14" s="5"/>
      <c r="H14" s="5"/>
      <c r="I14" s="11">
        <f t="shared" si="0"/>
        <v>50</v>
      </c>
      <c r="J14" s="30">
        <f t="shared" si="1"/>
        <v>466</v>
      </c>
      <c r="K14" s="19">
        <f t="shared" si="2"/>
        <v>200</v>
      </c>
      <c r="L14" s="3">
        <v>2.23</v>
      </c>
      <c r="M14" s="3">
        <v>2.35</v>
      </c>
      <c r="N14">
        <f t="shared" si="10"/>
        <v>446</v>
      </c>
      <c r="O14" s="22">
        <v>0.05</v>
      </c>
      <c r="P14">
        <f t="shared" si="4"/>
        <v>22.3</v>
      </c>
      <c r="Q14">
        <f t="shared" si="5"/>
        <v>470</v>
      </c>
      <c r="R14">
        <f t="shared" si="6"/>
        <v>468.3</v>
      </c>
      <c r="S14">
        <f t="shared" si="7"/>
        <v>1095.1000000000001</v>
      </c>
      <c r="U14" s="32">
        <f>M14*0.05</f>
        <v>0.11750000000000001</v>
      </c>
      <c r="V14" s="32">
        <f>M14-U14</f>
        <v>2.2324999999999999</v>
      </c>
    </row>
    <row r="15" spans="1:22" x14ac:dyDescent="0.25">
      <c r="A15">
        <v>10</v>
      </c>
      <c r="B15" s="5" t="s">
        <v>114</v>
      </c>
      <c r="C15" s="11"/>
      <c r="D15" s="30">
        <v>1090</v>
      </c>
      <c r="E15" s="30">
        <v>718</v>
      </c>
      <c r="F15" s="13"/>
      <c r="G15" s="5"/>
      <c r="H15" s="5"/>
      <c r="I15" s="11">
        <f t="shared" si="0"/>
        <v>718</v>
      </c>
      <c r="J15" s="30">
        <f t="shared" si="1"/>
        <v>1808</v>
      </c>
      <c r="K15" s="19">
        <f t="shared" si="2"/>
        <v>2872</v>
      </c>
      <c r="L15" s="3"/>
      <c r="M15" s="3">
        <v>1.03</v>
      </c>
      <c r="N15">
        <f t="shared" si="10"/>
        <v>0</v>
      </c>
      <c r="O15" s="22">
        <v>0.05</v>
      </c>
      <c r="P15">
        <f t="shared" si="4"/>
        <v>0</v>
      </c>
      <c r="Q15">
        <f t="shared" si="5"/>
        <v>2958.16</v>
      </c>
      <c r="R15">
        <f t="shared" si="6"/>
        <v>0</v>
      </c>
      <c r="S15">
        <f t="shared" si="7"/>
        <v>1862.24</v>
      </c>
      <c r="U15" s="32">
        <f t="shared" ref="U15:U28" si="11">M15*0.05</f>
        <v>5.1500000000000004E-2</v>
      </c>
      <c r="V15" s="32">
        <f t="shared" ref="V15:V28" si="12">M15-U15</f>
        <v>0.97850000000000004</v>
      </c>
    </row>
    <row r="16" spans="1:22" x14ac:dyDescent="0.25">
      <c r="A16">
        <v>11</v>
      </c>
      <c r="B16" s="5" t="s">
        <v>115</v>
      </c>
      <c r="C16" s="11"/>
      <c r="D16" s="30"/>
      <c r="E16" s="30"/>
      <c r="F16" s="13"/>
      <c r="G16" s="5"/>
      <c r="H16" s="5"/>
      <c r="I16" s="11">
        <f t="shared" si="0"/>
        <v>0</v>
      </c>
      <c r="J16" s="30">
        <f t="shared" si="1"/>
        <v>0</v>
      </c>
      <c r="K16" s="19">
        <f t="shared" si="2"/>
        <v>0</v>
      </c>
      <c r="L16" s="3"/>
      <c r="M16" s="3"/>
      <c r="N16">
        <f t="shared" si="10"/>
        <v>0</v>
      </c>
      <c r="O16" s="22">
        <v>0.05</v>
      </c>
      <c r="P16">
        <f t="shared" si="4"/>
        <v>0</v>
      </c>
      <c r="Q16">
        <f t="shared" si="5"/>
        <v>0</v>
      </c>
      <c r="R16">
        <f t="shared" si="6"/>
        <v>0</v>
      </c>
      <c r="S16">
        <f t="shared" si="7"/>
        <v>0</v>
      </c>
      <c r="U16" s="32">
        <f t="shared" si="11"/>
        <v>0</v>
      </c>
      <c r="V16" s="32">
        <f t="shared" si="12"/>
        <v>0</v>
      </c>
    </row>
    <row r="17" spans="1:22" x14ac:dyDescent="0.25">
      <c r="A17">
        <v>12</v>
      </c>
      <c r="B17" s="5" t="s">
        <v>147</v>
      </c>
      <c r="C17" s="11"/>
      <c r="D17" s="30">
        <v>730</v>
      </c>
      <c r="E17" s="30">
        <v>786</v>
      </c>
      <c r="F17" s="13"/>
      <c r="G17" s="5"/>
      <c r="H17" s="5"/>
      <c r="I17" s="11">
        <f t="shared" si="0"/>
        <v>786</v>
      </c>
      <c r="J17" s="30">
        <f t="shared" si="1"/>
        <v>1516</v>
      </c>
      <c r="K17" s="19">
        <f t="shared" si="2"/>
        <v>3144</v>
      </c>
      <c r="L17" s="3">
        <v>2.2599999999999998</v>
      </c>
      <c r="M17" s="3">
        <v>2.37</v>
      </c>
      <c r="N17">
        <f t="shared" si="10"/>
        <v>7105.44</v>
      </c>
      <c r="O17" s="22">
        <v>0.05</v>
      </c>
      <c r="P17">
        <f t="shared" si="4"/>
        <v>355.27199999999999</v>
      </c>
      <c r="Q17">
        <f t="shared" si="5"/>
        <v>7451.2800000000007</v>
      </c>
      <c r="R17">
        <f t="shared" si="6"/>
        <v>7460.7119999999995</v>
      </c>
      <c r="S17">
        <f t="shared" si="7"/>
        <v>3592.92</v>
      </c>
      <c r="U17" s="32">
        <f t="shared" si="11"/>
        <v>0.11850000000000001</v>
      </c>
      <c r="V17" s="32">
        <f t="shared" si="12"/>
        <v>2.2515000000000001</v>
      </c>
    </row>
    <row r="18" spans="1:22" x14ac:dyDescent="0.25">
      <c r="A18">
        <v>13</v>
      </c>
      <c r="B18" s="5" t="s">
        <v>116</v>
      </c>
      <c r="C18" s="11"/>
      <c r="D18" s="30">
        <v>1280</v>
      </c>
      <c r="E18" s="30">
        <v>240</v>
      </c>
      <c r="F18" s="13"/>
      <c r="G18" s="5"/>
      <c r="H18" s="5"/>
      <c r="I18" s="11">
        <f t="shared" si="0"/>
        <v>240</v>
      </c>
      <c r="J18" s="30">
        <f>E18+D18</f>
        <v>1520</v>
      </c>
      <c r="K18" s="19">
        <f t="shared" si="2"/>
        <v>960</v>
      </c>
      <c r="L18" s="3">
        <v>1.93</v>
      </c>
      <c r="M18" s="3">
        <v>2.08</v>
      </c>
      <c r="N18">
        <f t="shared" si="10"/>
        <v>1852.8</v>
      </c>
      <c r="O18" s="22">
        <v>0.05</v>
      </c>
      <c r="P18">
        <f t="shared" si="4"/>
        <v>92.64</v>
      </c>
      <c r="Q18">
        <f t="shared" si="5"/>
        <v>1996.8000000000002</v>
      </c>
      <c r="R18">
        <f t="shared" si="6"/>
        <v>1945.44</v>
      </c>
      <c r="S18">
        <f t="shared" si="7"/>
        <v>3161.6</v>
      </c>
      <c r="U18" s="32">
        <f t="shared" si="11"/>
        <v>0.10400000000000001</v>
      </c>
      <c r="V18" s="32">
        <f t="shared" si="12"/>
        <v>1.976</v>
      </c>
    </row>
    <row r="19" spans="1:22" x14ac:dyDescent="0.25">
      <c r="A19">
        <v>14</v>
      </c>
      <c r="B19" s="5" t="s">
        <v>117</v>
      </c>
      <c r="C19" s="11"/>
      <c r="D19" s="30">
        <f>790+20</f>
        <v>810</v>
      </c>
      <c r="E19" s="30">
        <v>310</v>
      </c>
      <c r="F19" s="13"/>
      <c r="G19" s="5"/>
      <c r="H19" s="5"/>
      <c r="I19" s="11">
        <f t="shared" si="0"/>
        <v>310</v>
      </c>
      <c r="J19" s="30">
        <f>E19+D19</f>
        <v>1120</v>
      </c>
      <c r="K19" s="19">
        <f t="shared" si="2"/>
        <v>1240</v>
      </c>
      <c r="L19" s="3">
        <v>1.79</v>
      </c>
      <c r="M19" s="3">
        <v>1.88</v>
      </c>
      <c r="N19">
        <f t="shared" si="10"/>
        <v>2219.6</v>
      </c>
      <c r="O19" s="22">
        <v>0.05</v>
      </c>
      <c r="P19">
        <f t="shared" si="4"/>
        <v>110.98</v>
      </c>
      <c r="Q19">
        <f t="shared" si="5"/>
        <v>2331.1999999999998</v>
      </c>
      <c r="R19">
        <f t="shared" si="6"/>
        <v>2330.58</v>
      </c>
      <c r="S19">
        <f t="shared" si="7"/>
        <v>2105.6</v>
      </c>
      <c r="U19" s="32">
        <f t="shared" si="11"/>
        <v>9.4E-2</v>
      </c>
      <c r="V19" s="32">
        <f t="shared" si="12"/>
        <v>1.7859999999999998</v>
      </c>
    </row>
    <row r="20" spans="1:22" x14ac:dyDescent="0.25">
      <c r="A20">
        <v>15</v>
      </c>
      <c r="B20" s="5" t="s">
        <v>139</v>
      </c>
      <c r="C20" s="11"/>
      <c r="D20" s="30">
        <v>2612</v>
      </c>
      <c r="E20" s="30">
        <v>970</v>
      </c>
      <c r="F20" s="13"/>
      <c r="G20" s="5"/>
      <c r="H20" s="5"/>
      <c r="I20" s="11">
        <f t="shared" si="0"/>
        <v>970</v>
      </c>
      <c r="J20" s="30">
        <f t="shared" si="1"/>
        <v>3582</v>
      </c>
      <c r="K20" s="19">
        <f t="shared" si="2"/>
        <v>3880</v>
      </c>
      <c r="L20" s="3">
        <v>1.91</v>
      </c>
      <c r="M20" s="3">
        <v>2.0099999999999998</v>
      </c>
      <c r="N20">
        <f t="shared" si="10"/>
        <v>7410.7999999999993</v>
      </c>
      <c r="O20" s="22">
        <v>0.05</v>
      </c>
      <c r="P20">
        <f t="shared" si="4"/>
        <v>370.53999999999996</v>
      </c>
      <c r="Q20">
        <f t="shared" si="5"/>
        <v>7798.7999999999993</v>
      </c>
      <c r="R20">
        <f t="shared" si="6"/>
        <v>7781.3399999999992</v>
      </c>
      <c r="S20">
        <f t="shared" si="7"/>
        <v>7199.8199999999988</v>
      </c>
      <c r="U20" s="32">
        <f t="shared" si="11"/>
        <v>0.10049999999999999</v>
      </c>
      <c r="V20" s="32">
        <f t="shared" si="12"/>
        <v>1.9094999999999998</v>
      </c>
    </row>
    <row r="21" spans="1:22" x14ac:dyDescent="0.25">
      <c r="A21">
        <v>16</v>
      </c>
      <c r="B21" s="5" t="s">
        <v>119</v>
      </c>
      <c r="C21" s="11"/>
      <c r="D21" s="30">
        <v>8580</v>
      </c>
      <c r="E21" s="30">
        <v>3120</v>
      </c>
      <c r="F21" s="13"/>
      <c r="G21" s="5"/>
      <c r="H21" s="5"/>
      <c r="I21" s="11">
        <f t="shared" si="0"/>
        <v>3120</v>
      </c>
      <c r="J21" s="30">
        <f t="shared" si="1"/>
        <v>11700</v>
      </c>
      <c r="K21" s="19">
        <f t="shared" si="2"/>
        <v>12480</v>
      </c>
      <c r="L21" s="3">
        <v>0.48</v>
      </c>
      <c r="M21" s="3">
        <v>0.5</v>
      </c>
      <c r="N21">
        <f t="shared" si="10"/>
        <v>5990.4</v>
      </c>
      <c r="O21" s="22">
        <v>0.05</v>
      </c>
      <c r="P21">
        <f t="shared" si="4"/>
        <v>299.52</v>
      </c>
      <c r="Q21">
        <f t="shared" si="5"/>
        <v>6240</v>
      </c>
      <c r="R21">
        <f t="shared" si="6"/>
        <v>6289.92</v>
      </c>
      <c r="S21">
        <f t="shared" si="7"/>
        <v>5850</v>
      </c>
      <c r="U21" s="32">
        <f t="shared" si="11"/>
        <v>2.5000000000000001E-2</v>
      </c>
      <c r="V21" s="32">
        <f t="shared" si="12"/>
        <v>0.47499999999999998</v>
      </c>
    </row>
    <row r="22" spans="1:22" x14ac:dyDescent="0.25">
      <c r="A22">
        <v>17</v>
      </c>
      <c r="B22" s="5" t="s">
        <v>146</v>
      </c>
      <c r="C22" s="11"/>
      <c r="D22" s="30">
        <v>768</v>
      </c>
      <c r="E22" s="30">
        <v>282</v>
      </c>
      <c r="F22" s="13"/>
      <c r="G22" s="5"/>
      <c r="H22" s="5"/>
      <c r="I22" s="11">
        <f t="shared" si="0"/>
        <v>282</v>
      </c>
      <c r="J22" s="30">
        <f t="shared" si="1"/>
        <v>1050</v>
      </c>
      <c r="K22" s="19">
        <f t="shared" si="2"/>
        <v>1128</v>
      </c>
      <c r="L22" s="3">
        <v>7.7</v>
      </c>
      <c r="M22" s="3">
        <v>8.09</v>
      </c>
      <c r="N22">
        <f t="shared" si="10"/>
        <v>8685.6</v>
      </c>
      <c r="O22" s="22">
        <v>0.05</v>
      </c>
      <c r="P22">
        <f t="shared" si="4"/>
        <v>434.28000000000003</v>
      </c>
      <c r="Q22">
        <f t="shared" si="5"/>
        <v>9125.52</v>
      </c>
      <c r="R22">
        <f t="shared" si="6"/>
        <v>9119.880000000001</v>
      </c>
      <c r="S22">
        <f t="shared" si="7"/>
        <v>8494.5</v>
      </c>
      <c r="U22" s="32">
        <f t="shared" si="11"/>
        <v>0.40450000000000003</v>
      </c>
      <c r="V22" s="32">
        <f t="shared" si="12"/>
        <v>7.6855000000000002</v>
      </c>
    </row>
    <row r="23" spans="1:22" ht="30" x14ac:dyDescent="0.25">
      <c r="A23">
        <v>18</v>
      </c>
      <c r="B23" s="7" t="s">
        <v>121</v>
      </c>
      <c r="C23" s="11"/>
      <c r="D23" s="30">
        <v>138</v>
      </c>
      <c r="E23" s="30">
        <v>165</v>
      </c>
      <c r="F23" s="13"/>
      <c r="G23" s="5"/>
      <c r="H23" s="5"/>
      <c r="I23" s="11">
        <f t="shared" si="0"/>
        <v>165</v>
      </c>
      <c r="J23" s="30">
        <f t="shared" si="1"/>
        <v>303</v>
      </c>
      <c r="K23" s="19">
        <f t="shared" si="2"/>
        <v>660</v>
      </c>
      <c r="L23" s="3">
        <v>13.52</v>
      </c>
      <c r="M23" s="3">
        <v>14.12</v>
      </c>
      <c r="N23">
        <f t="shared" si="10"/>
        <v>8923.1999999999989</v>
      </c>
      <c r="O23" s="22">
        <v>0.05</v>
      </c>
      <c r="P23">
        <f t="shared" si="4"/>
        <v>446.15999999999997</v>
      </c>
      <c r="Q23">
        <f t="shared" si="5"/>
        <v>9319.1999999999989</v>
      </c>
      <c r="R23">
        <f t="shared" si="6"/>
        <v>9369.3599999999988</v>
      </c>
      <c r="S23">
        <f t="shared" si="7"/>
        <v>4278.3599999999997</v>
      </c>
      <c r="U23" s="32">
        <f t="shared" si="11"/>
        <v>0.70599999999999996</v>
      </c>
      <c r="V23" s="32">
        <f t="shared" si="12"/>
        <v>13.414</v>
      </c>
    </row>
    <row r="24" spans="1:22" x14ac:dyDescent="0.25">
      <c r="A24">
        <v>19</v>
      </c>
      <c r="B24" s="8" t="s">
        <v>140</v>
      </c>
      <c r="D24" s="30">
        <v>40</v>
      </c>
      <c r="E24" s="30"/>
      <c r="I24" s="11">
        <f t="shared" si="0"/>
        <v>0</v>
      </c>
      <c r="J24" s="30">
        <f t="shared" si="1"/>
        <v>40</v>
      </c>
      <c r="K24" s="19">
        <f t="shared" si="2"/>
        <v>0</v>
      </c>
      <c r="L24" s="3">
        <v>2.39</v>
      </c>
      <c r="M24" s="3">
        <v>2.5099999999999998</v>
      </c>
      <c r="N24">
        <f t="shared" si="10"/>
        <v>0</v>
      </c>
      <c r="O24" s="22">
        <v>0.05</v>
      </c>
      <c r="P24">
        <f>R24/J24</f>
        <v>2.5092500000000002</v>
      </c>
      <c r="Q24">
        <f>J24*M24</f>
        <v>100.39999999999999</v>
      </c>
      <c r="R24">
        <f>100.37</f>
        <v>100.37</v>
      </c>
      <c r="S24">
        <f t="shared" si="7"/>
        <v>100.39999999999999</v>
      </c>
      <c r="U24" s="32">
        <f t="shared" si="11"/>
        <v>0.1255</v>
      </c>
      <c r="V24" s="32">
        <f t="shared" si="12"/>
        <v>2.3844999999999996</v>
      </c>
    </row>
    <row r="25" spans="1:22" x14ac:dyDescent="0.25">
      <c r="A25">
        <v>20</v>
      </c>
      <c r="B25" s="8" t="s">
        <v>123</v>
      </c>
      <c r="D25" s="30"/>
      <c r="E25" s="30">
        <v>0</v>
      </c>
      <c r="I25" s="11">
        <f t="shared" si="0"/>
        <v>0</v>
      </c>
      <c r="J25" s="30">
        <f t="shared" si="1"/>
        <v>0</v>
      </c>
      <c r="K25" s="19">
        <f t="shared" si="2"/>
        <v>0</v>
      </c>
      <c r="L25" s="3"/>
      <c r="M25" s="3">
        <v>1.61</v>
      </c>
      <c r="N25">
        <f t="shared" si="10"/>
        <v>0</v>
      </c>
      <c r="O25" s="22">
        <v>0.05</v>
      </c>
      <c r="P25">
        <f t="shared" si="4"/>
        <v>0</v>
      </c>
      <c r="Q25">
        <f t="shared" si="5"/>
        <v>0</v>
      </c>
      <c r="R25">
        <f t="shared" si="6"/>
        <v>0</v>
      </c>
      <c r="S25">
        <f t="shared" si="7"/>
        <v>0</v>
      </c>
      <c r="U25" s="32">
        <f t="shared" si="11"/>
        <v>8.0500000000000016E-2</v>
      </c>
      <c r="V25" s="32">
        <f t="shared" si="12"/>
        <v>1.5295000000000001</v>
      </c>
    </row>
    <row r="26" spans="1:22" x14ac:dyDescent="0.25">
      <c r="A26">
        <v>21</v>
      </c>
      <c r="B26" s="10" t="s">
        <v>125</v>
      </c>
      <c r="D26" s="30">
        <v>284</v>
      </c>
      <c r="E26" s="30">
        <v>95</v>
      </c>
      <c r="I26" s="11">
        <f t="shared" si="0"/>
        <v>95</v>
      </c>
      <c r="J26" s="30">
        <f t="shared" si="1"/>
        <v>379</v>
      </c>
      <c r="K26" s="19">
        <f t="shared" si="2"/>
        <v>380</v>
      </c>
      <c r="L26" s="3">
        <v>13.56</v>
      </c>
      <c r="M26" s="3">
        <v>14.24</v>
      </c>
      <c r="N26">
        <f t="shared" si="10"/>
        <v>5152.8</v>
      </c>
      <c r="O26" s="22">
        <v>0.05</v>
      </c>
      <c r="P26">
        <f t="shared" si="4"/>
        <v>257.64000000000004</v>
      </c>
      <c r="Q26">
        <f t="shared" si="5"/>
        <v>5411.2</v>
      </c>
      <c r="R26">
        <f>N26+P26</f>
        <v>5410.4400000000005</v>
      </c>
      <c r="S26">
        <f t="shared" si="7"/>
        <v>5396.96</v>
      </c>
      <c r="U26" s="32">
        <f t="shared" si="11"/>
        <v>0.71200000000000008</v>
      </c>
      <c r="V26" s="32">
        <f t="shared" si="12"/>
        <v>13.528</v>
      </c>
    </row>
    <row r="27" spans="1:22" x14ac:dyDescent="0.25">
      <c r="A27">
        <v>22</v>
      </c>
      <c r="B27" s="10" t="s">
        <v>143</v>
      </c>
      <c r="D27" s="30">
        <v>340</v>
      </c>
      <c r="E27" s="30"/>
      <c r="I27" s="5">
        <f t="shared" si="0"/>
        <v>0</v>
      </c>
      <c r="J27" s="28">
        <f t="shared" si="1"/>
        <v>340</v>
      </c>
      <c r="K27" s="19">
        <f>D27*4</f>
        <v>1360</v>
      </c>
      <c r="L27" s="3"/>
      <c r="M27" s="3">
        <f>Q27/J27</f>
        <v>1.4397352941176471</v>
      </c>
      <c r="N27">
        <f t="shared" si="10"/>
        <v>0</v>
      </c>
      <c r="O27" s="22">
        <v>0.05</v>
      </c>
      <c r="P27">
        <f t="shared" si="4"/>
        <v>0</v>
      </c>
      <c r="Q27">
        <v>489.51</v>
      </c>
      <c r="R27">
        <f t="shared" ref="R27" si="13">N27+P27</f>
        <v>0</v>
      </c>
      <c r="S27">
        <f t="shared" si="7"/>
        <v>489.51</v>
      </c>
      <c r="U27" s="32">
        <f t="shared" si="11"/>
        <v>7.1986764705882361E-2</v>
      </c>
      <c r="V27" s="32">
        <f t="shared" si="12"/>
        <v>1.3677485294117648</v>
      </c>
    </row>
    <row r="28" spans="1:22" x14ac:dyDescent="0.25">
      <c r="A28">
        <v>23</v>
      </c>
      <c r="B28" s="10" t="s">
        <v>138</v>
      </c>
      <c r="D28" s="30">
        <v>204</v>
      </c>
      <c r="E28" s="30"/>
      <c r="J28" s="28">
        <f t="shared" si="1"/>
        <v>204</v>
      </c>
      <c r="K28" s="19">
        <f>D28*4</f>
        <v>816</v>
      </c>
      <c r="L28" s="3">
        <f>M28-P28</f>
        <v>2.1242279411764704</v>
      </c>
      <c r="M28" s="3">
        <f>Q28/J28</f>
        <v>2.2360294117647057</v>
      </c>
      <c r="N28">
        <f t="shared" si="10"/>
        <v>1733.37</v>
      </c>
      <c r="O28" s="22">
        <v>0.05</v>
      </c>
      <c r="P28">
        <f>M28*0.05</f>
        <v>0.11180147058823529</v>
      </c>
      <c r="Q28">
        <v>456.15</v>
      </c>
      <c r="R28">
        <f>N28+P28</f>
        <v>1733.4818014705882</v>
      </c>
      <c r="S28">
        <f t="shared" si="7"/>
        <v>456.15</v>
      </c>
      <c r="U28" s="32">
        <f t="shared" si="11"/>
        <v>0.11180147058823529</v>
      </c>
      <c r="V28" s="32">
        <f t="shared" si="12"/>
        <v>2.1242279411764704</v>
      </c>
    </row>
    <row r="29" spans="1:22" x14ac:dyDescent="0.25">
      <c r="R29">
        <f t="shared" ref="R29" si="14">SUM(R6:R27)</f>
        <v>153608.73199999999</v>
      </c>
      <c r="U29">
        <f t="shared" ref="U29" si="15">M29*0.05</f>
        <v>0</v>
      </c>
      <c r="V29">
        <f t="shared" ref="V29" si="16">M29-U29</f>
        <v>0</v>
      </c>
    </row>
    <row r="31" spans="1:22" x14ac:dyDescent="0.25">
      <c r="R31">
        <f>SUM(R6:R28)</f>
        <v>155342.21380147059</v>
      </c>
    </row>
    <row r="32" spans="1:22" x14ac:dyDescent="0.25">
      <c r="C32">
        <f>40+30+90+80+484+80+358+30+110+30+1280</f>
        <v>2612</v>
      </c>
      <c r="N32">
        <f>SUM(N6:N30)</f>
        <v>147931.81</v>
      </c>
      <c r="Q32">
        <f>SUM(Q6:Q28)</f>
        <v>157737.5</v>
      </c>
      <c r="S32">
        <f>SUM(S6:S28)</f>
        <v>124667.57</v>
      </c>
    </row>
  </sheetData>
  <autoFilter ref="A1:S29" xr:uid="{00000000-0009-0000-0000-000001000000}"/>
  <mergeCells count="3">
    <mergeCell ref="B3:B4"/>
    <mergeCell ref="C3:C4"/>
    <mergeCell ref="E3:I4"/>
  </mergeCells>
  <pageMargins left="0.7" right="0.7" top="0.75" bottom="0.75" header="0.3" footer="0.3"/>
  <pageSetup paperSize="9" scale="89" orientation="landscape" verticalDpi="0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34"/>
  <sheetViews>
    <sheetView topLeftCell="A16" workbookViewId="0">
      <selection activeCell="G9" sqref="G9"/>
    </sheetView>
  </sheetViews>
  <sheetFormatPr defaultRowHeight="15" x14ac:dyDescent="0.25"/>
  <cols>
    <col min="3" max="3" width="35.140625" bestFit="1" customWidth="1"/>
    <col min="4" max="4" width="18.140625" customWidth="1"/>
    <col min="7" max="7" width="13.140625" customWidth="1"/>
    <col min="9" max="10" width="13.42578125" customWidth="1"/>
    <col min="11" max="11" width="115.140625" bestFit="1" customWidth="1"/>
    <col min="12" max="12" width="13.28515625" customWidth="1"/>
  </cols>
  <sheetData>
    <row r="1" spans="2:12" ht="18" x14ac:dyDescent="0.25">
      <c r="E1" s="38" t="s">
        <v>196</v>
      </c>
    </row>
    <row r="3" spans="2:12" s="37" customFormat="1" ht="42" customHeight="1" x14ac:dyDescent="0.25">
      <c r="B3" s="39" t="s">
        <v>150</v>
      </c>
      <c r="C3" s="39" t="s">
        <v>148</v>
      </c>
      <c r="D3" s="39" t="s">
        <v>149</v>
      </c>
      <c r="E3" s="39" t="s">
        <v>151</v>
      </c>
      <c r="F3" s="39" t="s">
        <v>126</v>
      </c>
      <c r="G3" s="39" t="s">
        <v>152</v>
      </c>
      <c r="H3" s="39" t="s">
        <v>153</v>
      </c>
      <c r="I3" s="39" t="s">
        <v>197</v>
      </c>
      <c r="J3" s="39" t="s">
        <v>154</v>
      </c>
      <c r="K3" s="39" t="s">
        <v>155</v>
      </c>
      <c r="L3" s="40" t="s">
        <v>156</v>
      </c>
    </row>
    <row r="4" spans="2:12" ht="45" customHeight="1" x14ac:dyDescent="0.25">
      <c r="B4">
        <v>1</v>
      </c>
      <c r="C4" s="34" t="s">
        <v>159</v>
      </c>
      <c r="D4" s="33" t="s">
        <v>157</v>
      </c>
      <c r="E4" s="5">
        <v>12600</v>
      </c>
      <c r="F4" s="5">
        <v>4.8</v>
      </c>
      <c r="G4" s="5">
        <f>E4*F4</f>
        <v>60480</v>
      </c>
      <c r="H4" s="36">
        <v>0.05</v>
      </c>
      <c r="I4" s="5">
        <f>G4*0.05</f>
        <v>3024</v>
      </c>
      <c r="J4" s="5">
        <f>G4+I4</f>
        <v>63504</v>
      </c>
      <c r="K4" s="33" t="s">
        <v>180</v>
      </c>
      <c r="L4" s="5"/>
    </row>
    <row r="5" spans="2:12" ht="45" customHeight="1" x14ac:dyDescent="0.25">
      <c r="B5">
        <v>2</v>
      </c>
      <c r="C5" s="35" t="s">
        <v>160</v>
      </c>
      <c r="D5" s="33" t="s">
        <v>157</v>
      </c>
      <c r="E5" s="5">
        <v>4500</v>
      </c>
      <c r="F5" s="5">
        <v>0.7</v>
      </c>
      <c r="G5" s="5">
        <f t="shared" ref="G5:G24" si="0">E5*F5</f>
        <v>3150</v>
      </c>
      <c r="H5" s="36">
        <v>0.05</v>
      </c>
      <c r="I5" s="5">
        <f t="shared" ref="I5:I24" si="1">G5*0.05</f>
        <v>157.5</v>
      </c>
      <c r="J5" s="5">
        <f t="shared" ref="J5:J24" si="2">G5+I5</f>
        <v>3307.5</v>
      </c>
      <c r="K5" s="33" t="s">
        <v>181</v>
      </c>
      <c r="L5" s="5"/>
    </row>
    <row r="6" spans="2:12" ht="45" customHeight="1" x14ac:dyDescent="0.25">
      <c r="B6">
        <v>3</v>
      </c>
      <c r="C6" s="35" t="s">
        <v>161</v>
      </c>
      <c r="D6" s="33" t="s">
        <v>157</v>
      </c>
      <c r="E6" s="5">
        <v>4000</v>
      </c>
      <c r="F6" s="5">
        <v>0.7</v>
      </c>
      <c r="G6" s="5">
        <f t="shared" si="0"/>
        <v>2800</v>
      </c>
      <c r="H6" s="36">
        <v>0.05</v>
      </c>
      <c r="I6" s="5">
        <f t="shared" si="1"/>
        <v>140</v>
      </c>
      <c r="J6" s="5">
        <f t="shared" si="2"/>
        <v>2940</v>
      </c>
      <c r="K6" s="33" t="s">
        <v>181</v>
      </c>
      <c r="L6" s="5"/>
    </row>
    <row r="7" spans="2:12" ht="45" customHeight="1" x14ac:dyDescent="0.25">
      <c r="B7">
        <v>4</v>
      </c>
      <c r="C7" s="35" t="s">
        <v>162</v>
      </c>
      <c r="D7" s="33" t="s">
        <v>158</v>
      </c>
      <c r="E7" s="5">
        <v>11000</v>
      </c>
      <c r="F7" s="5">
        <v>2.1</v>
      </c>
      <c r="G7" s="5">
        <f t="shared" si="0"/>
        <v>23100</v>
      </c>
      <c r="H7" s="36">
        <v>0.05</v>
      </c>
      <c r="I7" s="5">
        <f t="shared" si="1"/>
        <v>1155</v>
      </c>
      <c r="J7" s="5">
        <f t="shared" si="2"/>
        <v>24255</v>
      </c>
      <c r="K7" s="33" t="s">
        <v>182</v>
      </c>
      <c r="L7" s="5"/>
    </row>
    <row r="8" spans="2:12" ht="45" customHeight="1" x14ac:dyDescent="0.25">
      <c r="B8">
        <v>5</v>
      </c>
      <c r="C8" s="35" t="s">
        <v>163</v>
      </c>
      <c r="D8" s="33" t="s">
        <v>6</v>
      </c>
      <c r="E8" s="5">
        <v>400</v>
      </c>
      <c r="F8" s="5">
        <v>15</v>
      </c>
      <c r="G8" s="5">
        <f t="shared" si="0"/>
        <v>6000</v>
      </c>
      <c r="H8" s="36">
        <v>0.05</v>
      </c>
      <c r="I8" s="5">
        <f t="shared" si="1"/>
        <v>300</v>
      </c>
      <c r="J8" s="5">
        <f t="shared" si="2"/>
        <v>6300</v>
      </c>
      <c r="K8" s="33" t="s">
        <v>183</v>
      </c>
      <c r="L8" s="5"/>
    </row>
    <row r="9" spans="2:12" ht="45" customHeight="1" x14ac:dyDescent="0.25">
      <c r="B9">
        <v>6</v>
      </c>
      <c r="C9" s="35" t="s">
        <v>164</v>
      </c>
      <c r="D9" s="33" t="s">
        <v>157</v>
      </c>
      <c r="E9" s="5">
        <v>1200</v>
      </c>
      <c r="F9" s="5">
        <v>1.8</v>
      </c>
      <c r="G9" s="5">
        <f t="shared" si="0"/>
        <v>2160</v>
      </c>
      <c r="H9" s="36">
        <v>0.05</v>
      </c>
      <c r="I9" s="5">
        <f t="shared" si="1"/>
        <v>108</v>
      </c>
      <c r="J9" s="5">
        <f t="shared" si="2"/>
        <v>2268</v>
      </c>
      <c r="K9" s="33" t="s">
        <v>181</v>
      </c>
      <c r="L9" s="5"/>
    </row>
    <row r="10" spans="2:12" ht="45" customHeight="1" x14ac:dyDescent="0.25">
      <c r="B10">
        <v>7</v>
      </c>
      <c r="C10" s="35" t="s">
        <v>165</v>
      </c>
      <c r="D10" s="33" t="s">
        <v>157</v>
      </c>
      <c r="E10" s="5">
        <v>600</v>
      </c>
      <c r="F10" s="5">
        <v>1.8</v>
      </c>
      <c r="G10" s="5">
        <f t="shared" si="0"/>
        <v>1080</v>
      </c>
      <c r="H10" s="36">
        <v>0.05</v>
      </c>
      <c r="I10" s="5">
        <f t="shared" si="1"/>
        <v>54</v>
      </c>
      <c r="J10" s="5">
        <f t="shared" si="2"/>
        <v>1134</v>
      </c>
      <c r="K10" s="33" t="s">
        <v>181</v>
      </c>
      <c r="L10" s="5"/>
    </row>
    <row r="11" spans="2:12" ht="45" customHeight="1" x14ac:dyDescent="0.25">
      <c r="B11">
        <v>8</v>
      </c>
      <c r="C11" s="35" t="s">
        <v>166</v>
      </c>
      <c r="D11" s="33" t="s">
        <v>157</v>
      </c>
      <c r="E11" s="5">
        <v>1050</v>
      </c>
      <c r="F11" s="5">
        <v>1.9</v>
      </c>
      <c r="G11" s="5">
        <f t="shared" si="0"/>
        <v>1995</v>
      </c>
      <c r="H11" s="36">
        <v>0.05</v>
      </c>
      <c r="I11" s="5">
        <f t="shared" si="1"/>
        <v>99.75</v>
      </c>
      <c r="J11" s="5">
        <f t="shared" si="2"/>
        <v>2094.75</v>
      </c>
      <c r="K11" s="33" t="s">
        <v>184</v>
      </c>
      <c r="L11" s="5"/>
    </row>
    <row r="12" spans="2:12" ht="45" customHeight="1" x14ac:dyDescent="0.25">
      <c r="B12">
        <v>9</v>
      </c>
      <c r="C12" s="35" t="s">
        <v>167</v>
      </c>
      <c r="D12" s="33" t="s">
        <v>157</v>
      </c>
      <c r="E12" s="5">
        <v>1600</v>
      </c>
      <c r="F12" s="10">
        <v>2.1</v>
      </c>
      <c r="G12" s="5">
        <f t="shared" si="0"/>
        <v>3360</v>
      </c>
      <c r="H12" s="36">
        <v>0.05</v>
      </c>
      <c r="I12" s="5">
        <f t="shared" si="1"/>
        <v>168</v>
      </c>
      <c r="J12" s="5">
        <f t="shared" si="2"/>
        <v>3528</v>
      </c>
      <c r="K12" s="33" t="s">
        <v>185</v>
      </c>
      <c r="L12" s="5"/>
    </row>
    <row r="13" spans="2:12" ht="45" customHeight="1" x14ac:dyDescent="0.25">
      <c r="B13">
        <v>10</v>
      </c>
      <c r="C13" s="35" t="s">
        <v>168</v>
      </c>
      <c r="D13" s="33" t="s">
        <v>157</v>
      </c>
      <c r="E13" s="5">
        <v>600</v>
      </c>
      <c r="F13" s="5">
        <v>2.8</v>
      </c>
      <c r="G13" s="5">
        <f t="shared" si="0"/>
        <v>1680</v>
      </c>
      <c r="H13" s="36">
        <v>0.05</v>
      </c>
      <c r="I13" s="5">
        <f t="shared" si="1"/>
        <v>84</v>
      </c>
      <c r="J13" s="5">
        <f t="shared" si="2"/>
        <v>1764</v>
      </c>
      <c r="K13" s="33" t="s">
        <v>186</v>
      </c>
      <c r="L13" s="5"/>
    </row>
    <row r="14" spans="2:12" ht="45" customHeight="1" x14ac:dyDescent="0.25">
      <c r="B14">
        <v>11</v>
      </c>
      <c r="C14" s="35" t="s">
        <v>169</v>
      </c>
      <c r="D14" s="33" t="s">
        <v>157</v>
      </c>
      <c r="E14" s="5">
        <v>1300</v>
      </c>
      <c r="F14" s="5">
        <v>1.9</v>
      </c>
      <c r="G14" s="5">
        <f t="shared" si="0"/>
        <v>2470</v>
      </c>
      <c r="H14" s="36">
        <v>0.05</v>
      </c>
      <c r="I14" s="5">
        <f t="shared" si="1"/>
        <v>123.5</v>
      </c>
      <c r="J14" s="5">
        <f t="shared" si="2"/>
        <v>2593.5</v>
      </c>
      <c r="K14" s="33" t="s">
        <v>187</v>
      </c>
      <c r="L14" s="5"/>
    </row>
    <row r="15" spans="2:12" ht="45" customHeight="1" x14ac:dyDescent="0.25">
      <c r="B15">
        <v>12</v>
      </c>
      <c r="C15" s="35" t="s">
        <v>170</v>
      </c>
      <c r="D15" s="33" t="s">
        <v>157</v>
      </c>
      <c r="E15" s="5">
        <v>2500</v>
      </c>
      <c r="F15" s="5">
        <v>3.2</v>
      </c>
      <c r="G15" s="5">
        <f t="shared" si="0"/>
        <v>8000</v>
      </c>
      <c r="H15" s="36">
        <v>0.05</v>
      </c>
      <c r="I15" s="5">
        <f t="shared" si="1"/>
        <v>400</v>
      </c>
      <c r="J15" s="5">
        <f t="shared" si="2"/>
        <v>8400</v>
      </c>
      <c r="K15" s="33" t="s">
        <v>184</v>
      </c>
      <c r="L15" s="5"/>
    </row>
    <row r="16" spans="2:12" ht="45" customHeight="1" x14ac:dyDescent="0.25">
      <c r="B16">
        <v>13</v>
      </c>
      <c r="C16" s="35" t="s">
        <v>171</v>
      </c>
      <c r="D16" s="33" t="s">
        <v>157</v>
      </c>
      <c r="E16" s="5">
        <v>2000</v>
      </c>
      <c r="F16" s="10">
        <v>2.6</v>
      </c>
      <c r="G16" s="5">
        <f t="shared" si="0"/>
        <v>5200</v>
      </c>
      <c r="H16" s="36">
        <v>0.05</v>
      </c>
      <c r="I16" s="5">
        <f t="shared" si="1"/>
        <v>260</v>
      </c>
      <c r="J16" s="5">
        <f t="shared" si="2"/>
        <v>5460</v>
      </c>
      <c r="K16" s="33" t="s">
        <v>188</v>
      </c>
      <c r="L16" s="5"/>
    </row>
    <row r="17" spans="2:12" ht="45" customHeight="1" x14ac:dyDescent="0.25">
      <c r="B17">
        <v>14</v>
      </c>
      <c r="C17" s="35" t="s">
        <v>172</v>
      </c>
      <c r="D17" s="33" t="s">
        <v>157</v>
      </c>
      <c r="E17" s="5">
        <v>1000</v>
      </c>
      <c r="F17" s="5">
        <v>3.5</v>
      </c>
      <c r="G17" s="5">
        <f t="shared" si="0"/>
        <v>3500</v>
      </c>
      <c r="H17" s="36">
        <v>0.05</v>
      </c>
      <c r="I17" s="5">
        <f t="shared" si="1"/>
        <v>175</v>
      </c>
      <c r="J17" s="5">
        <f t="shared" si="2"/>
        <v>3675</v>
      </c>
      <c r="K17" s="33" t="s">
        <v>184</v>
      </c>
      <c r="L17" s="5"/>
    </row>
    <row r="18" spans="2:12" ht="45" customHeight="1" x14ac:dyDescent="0.25">
      <c r="B18">
        <v>15</v>
      </c>
      <c r="C18" s="35" t="s">
        <v>173</v>
      </c>
      <c r="D18" s="33" t="s">
        <v>157</v>
      </c>
      <c r="E18" s="5">
        <v>12000</v>
      </c>
      <c r="F18" s="5">
        <v>0.8</v>
      </c>
      <c r="G18" s="5">
        <f t="shared" si="0"/>
        <v>9600</v>
      </c>
      <c r="H18" s="36">
        <v>0.05</v>
      </c>
      <c r="I18" s="5">
        <f t="shared" si="1"/>
        <v>480</v>
      </c>
      <c r="J18" s="5">
        <f t="shared" si="2"/>
        <v>10080</v>
      </c>
      <c r="K18" s="33" t="s">
        <v>189</v>
      </c>
      <c r="L18" s="5"/>
    </row>
    <row r="19" spans="2:12" ht="45" customHeight="1" x14ac:dyDescent="0.25">
      <c r="B19">
        <v>16</v>
      </c>
      <c r="C19" s="35" t="s">
        <v>174</v>
      </c>
      <c r="D19" s="33" t="s">
        <v>157</v>
      </c>
      <c r="E19" s="5">
        <v>250</v>
      </c>
      <c r="F19" s="5">
        <v>3</v>
      </c>
      <c r="G19" s="5">
        <f t="shared" si="0"/>
        <v>750</v>
      </c>
      <c r="H19" s="36">
        <v>0.05</v>
      </c>
      <c r="I19" s="5">
        <f t="shared" si="1"/>
        <v>37.5</v>
      </c>
      <c r="J19" s="5">
        <f t="shared" si="2"/>
        <v>787.5</v>
      </c>
      <c r="K19" s="33" t="s">
        <v>190</v>
      </c>
      <c r="L19" s="5"/>
    </row>
    <row r="20" spans="2:12" ht="45" customHeight="1" x14ac:dyDescent="0.25">
      <c r="B20">
        <v>17</v>
      </c>
      <c r="C20" s="35" t="s">
        <v>175</v>
      </c>
      <c r="D20" s="33" t="s">
        <v>158</v>
      </c>
      <c r="E20" s="5">
        <v>3800</v>
      </c>
      <c r="F20" s="5">
        <v>2.2000000000000002</v>
      </c>
      <c r="G20" s="5">
        <f t="shared" si="0"/>
        <v>8360</v>
      </c>
      <c r="H20" s="36">
        <v>0.05</v>
      </c>
      <c r="I20" s="5">
        <f t="shared" si="1"/>
        <v>418</v>
      </c>
      <c r="J20" s="5">
        <f t="shared" si="2"/>
        <v>8778</v>
      </c>
      <c r="K20" s="33" t="s">
        <v>191</v>
      </c>
      <c r="L20" s="5"/>
    </row>
    <row r="21" spans="2:12" ht="45" customHeight="1" x14ac:dyDescent="0.25">
      <c r="B21">
        <v>18</v>
      </c>
      <c r="C21" s="35" t="s">
        <v>176</v>
      </c>
      <c r="D21" s="33" t="s">
        <v>6</v>
      </c>
      <c r="E21" s="5">
        <v>1100</v>
      </c>
      <c r="F21" s="5">
        <v>8.3000000000000007</v>
      </c>
      <c r="G21" s="5">
        <f t="shared" si="0"/>
        <v>9130</v>
      </c>
      <c r="H21" s="36">
        <v>0.05</v>
      </c>
      <c r="I21" s="5">
        <f t="shared" si="1"/>
        <v>456.5</v>
      </c>
      <c r="J21" s="5">
        <f t="shared" si="2"/>
        <v>9586.5</v>
      </c>
      <c r="K21" s="33" t="s">
        <v>192</v>
      </c>
      <c r="L21" s="5"/>
    </row>
    <row r="22" spans="2:12" ht="45" customHeight="1" x14ac:dyDescent="0.25">
      <c r="B22">
        <v>19</v>
      </c>
      <c r="C22" s="35" t="s">
        <v>177</v>
      </c>
      <c r="D22" s="33" t="s">
        <v>6</v>
      </c>
      <c r="E22" s="5">
        <v>600</v>
      </c>
      <c r="F22" s="5">
        <v>13.52</v>
      </c>
      <c r="G22" s="5">
        <f t="shared" si="0"/>
        <v>8112</v>
      </c>
      <c r="H22" s="36">
        <v>0.05</v>
      </c>
      <c r="I22" s="5">
        <f t="shared" si="1"/>
        <v>405.6</v>
      </c>
      <c r="J22" s="5">
        <f t="shared" si="2"/>
        <v>8517.6</v>
      </c>
      <c r="K22" s="35" t="s">
        <v>193</v>
      </c>
      <c r="L22" s="5"/>
    </row>
    <row r="23" spans="2:12" ht="45" customHeight="1" x14ac:dyDescent="0.25">
      <c r="B23">
        <v>20</v>
      </c>
      <c r="C23" s="35" t="s">
        <v>178</v>
      </c>
      <c r="D23" s="33" t="s">
        <v>158</v>
      </c>
      <c r="E23" s="5">
        <v>100</v>
      </c>
      <c r="F23" s="5">
        <v>2.5</v>
      </c>
      <c r="G23" s="5">
        <f t="shared" si="0"/>
        <v>250</v>
      </c>
      <c r="H23" s="36">
        <v>0.05</v>
      </c>
      <c r="I23" s="5">
        <f t="shared" si="1"/>
        <v>12.5</v>
      </c>
      <c r="J23" s="5">
        <f t="shared" si="2"/>
        <v>262.5</v>
      </c>
      <c r="K23" s="35" t="s">
        <v>193</v>
      </c>
      <c r="L23" s="5"/>
    </row>
    <row r="24" spans="2:12" ht="45" customHeight="1" x14ac:dyDescent="0.25">
      <c r="B24">
        <v>21</v>
      </c>
      <c r="C24" s="35" t="s">
        <v>179</v>
      </c>
      <c r="D24" s="33" t="s">
        <v>158</v>
      </c>
      <c r="E24" s="5">
        <v>80</v>
      </c>
      <c r="F24" s="5">
        <v>2.7</v>
      </c>
      <c r="G24" s="5">
        <f t="shared" si="0"/>
        <v>216</v>
      </c>
      <c r="H24" s="36">
        <v>0.05</v>
      </c>
      <c r="I24" s="5">
        <f t="shared" si="1"/>
        <v>10.8</v>
      </c>
      <c r="J24" s="5">
        <f t="shared" si="2"/>
        <v>226.8</v>
      </c>
      <c r="K24" s="35" t="s">
        <v>194</v>
      </c>
      <c r="L24" s="5"/>
    </row>
    <row r="25" spans="2:12" x14ac:dyDescent="0.25">
      <c r="E25" t="s">
        <v>195</v>
      </c>
      <c r="G25">
        <f ca="1">SUM(G4:G26)</f>
        <v>161393</v>
      </c>
    </row>
    <row r="30" spans="2:12" x14ac:dyDescent="0.25">
      <c r="I30">
        <f>161393*0.05</f>
        <v>8069.6500000000005</v>
      </c>
    </row>
    <row r="33" spans="9:11" x14ac:dyDescent="0.25">
      <c r="J33">
        <f>SUM(J4:J32)</f>
        <v>169462.65</v>
      </c>
    </row>
    <row r="34" spans="9:11" x14ac:dyDescent="0.25">
      <c r="I34" s="9">
        <f>161393+I30</f>
        <v>169462.65</v>
      </c>
      <c r="J34" s="9"/>
      <c r="K34" s="9" t="s">
        <v>129</v>
      </c>
    </row>
  </sheetData>
  <pageMargins left="0.7" right="0.7" top="0.75" bottom="0.75" header="0.3" footer="0.3"/>
  <pageSetup paperSize="9" scale="54" orientation="landscape" verticalDpi="0" r:id="rId1"/>
  <rowBreaks count="1" manualBreakCount="1">
    <brk id="14" max="9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9"/>
  <sheetViews>
    <sheetView workbookViewId="0">
      <selection activeCell="P10" sqref="P10"/>
    </sheetView>
  </sheetViews>
  <sheetFormatPr defaultRowHeight="15" x14ac:dyDescent="0.25"/>
  <cols>
    <col min="2" max="2" width="30" bestFit="1" customWidth="1"/>
    <col min="3" max="3" width="20.140625" bestFit="1" customWidth="1"/>
    <col min="7" max="7" width="10" bestFit="1" customWidth="1"/>
    <col min="9" max="9" width="15" customWidth="1"/>
    <col min="10" max="10" width="10.42578125" bestFit="1" customWidth="1"/>
    <col min="11" max="11" width="11.140625" bestFit="1" customWidth="1"/>
    <col min="12" max="12" width="13.28515625" bestFit="1" customWidth="1"/>
    <col min="13" max="14" width="13.28515625" customWidth="1"/>
    <col min="15" max="15" width="14" bestFit="1" customWidth="1"/>
    <col min="19" max="19" width="13" customWidth="1"/>
    <col min="20" max="20" width="12.7109375" customWidth="1"/>
  </cols>
  <sheetData>
    <row r="1" spans="1:20" x14ac:dyDescent="0.25">
      <c r="A1" t="s">
        <v>94</v>
      </c>
    </row>
    <row r="2" spans="1:20" ht="15.75" thickBot="1" x14ac:dyDescent="0.3">
      <c r="D2" s="9" t="s">
        <v>124</v>
      </c>
    </row>
    <row r="3" spans="1:20" x14ac:dyDescent="0.25">
      <c r="B3" s="50" t="s">
        <v>95</v>
      </c>
      <c r="C3" s="52" t="s">
        <v>96</v>
      </c>
      <c r="D3" s="50" t="s">
        <v>97</v>
      </c>
      <c r="E3" s="52"/>
      <c r="F3" s="52"/>
      <c r="G3" s="52"/>
      <c r="H3" s="54"/>
      <c r="I3" s="18"/>
    </row>
    <row r="4" spans="1:20" ht="45.75" thickBot="1" x14ac:dyDescent="0.3">
      <c r="B4" s="51"/>
      <c r="C4" s="53"/>
      <c r="D4" s="55"/>
      <c r="E4" s="56"/>
      <c r="F4" s="56"/>
      <c r="G4" s="56"/>
      <c r="H4" s="57"/>
      <c r="I4" s="24" t="s">
        <v>135</v>
      </c>
      <c r="J4" s="21" t="s">
        <v>126</v>
      </c>
      <c r="K4" s="21" t="s">
        <v>127</v>
      </c>
      <c r="L4" s="21" t="s">
        <v>128</v>
      </c>
      <c r="M4" s="21" t="s">
        <v>130</v>
      </c>
      <c r="N4" s="21" t="s">
        <v>131</v>
      </c>
      <c r="O4" s="21" t="s">
        <v>129</v>
      </c>
      <c r="P4" s="21" t="s">
        <v>129</v>
      </c>
      <c r="S4" s="23" t="s">
        <v>134</v>
      </c>
      <c r="T4" s="23" t="s">
        <v>133</v>
      </c>
    </row>
    <row r="5" spans="1:20" x14ac:dyDescent="0.25">
      <c r="B5" s="5"/>
      <c r="C5" s="11"/>
      <c r="D5" s="14" t="s">
        <v>98</v>
      </c>
      <c r="E5" s="12" t="s">
        <v>99</v>
      </c>
      <c r="F5" s="6" t="s">
        <v>100</v>
      </c>
      <c r="G5" s="6" t="s">
        <v>101</v>
      </c>
      <c r="H5" s="6" t="s">
        <v>102</v>
      </c>
      <c r="I5" s="19"/>
      <c r="S5" s="23"/>
    </row>
    <row r="6" spans="1:20" x14ac:dyDescent="0.25">
      <c r="A6">
        <v>1</v>
      </c>
      <c r="B6" s="5" t="s">
        <v>103</v>
      </c>
      <c r="C6" s="11"/>
      <c r="D6" s="15">
        <v>1140</v>
      </c>
      <c r="E6" s="13"/>
      <c r="F6" s="5"/>
      <c r="G6" s="5"/>
      <c r="H6" s="5">
        <f>D6+E6+F6+G6</f>
        <v>1140</v>
      </c>
      <c r="I6" s="19">
        <f>D6*4</f>
        <v>4560</v>
      </c>
      <c r="J6">
        <v>0.48</v>
      </c>
      <c r="K6">
        <v>0.5</v>
      </c>
      <c r="L6">
        <f t="shared" ref="L6:L8" si="0">I6*J6</f>
        <v>2188.7999999999997</v>
      </c>
      <c r="M6" s="22">
        <v>0.05</v>
      </c>
      <c r="N6">
        <f>L6*M6</f>
        <v>109.44</v>
      </c>
      <c r="O6">
        <f>I6*K6</f>
        <v>2280</v>
      </c>
      <c r="P6">
        <f>L6+N6</f>
        <v>2298.2399999999998</v>
      </c>
      <c r="S6">
        <f>K6*0.05</f>
        <v>2.5000000000000001E-2</v>
      </c>
      <c r="T6">
        <f>K6-S6</f>
        <v>0.47499999999999998</v>
      </c>
    </row>
    <row r="7" spans="1:20" x14ac:dyDescent="0.25">
      <c r="A7">
        <v>2</v>
      </c>
      <c r="B7" s="5" t="s">
        <v>104</v>
      </c>
      <c r="C7" s="11"/>
      <c r="D7" s="15">
        <v>930</v>
      </c>
      <c r="E7" s="13"/>
      <c r="F7" s="5"/>
      <c r="G7" s="5"/>
      <c r="H7" s="5">
        <f t="shared" ref="H7:H25" si="1">D7+E7+F7+G7</f>
        <v>930</v>
      </c>
      <c r="I7" s="19">
        <f t="shared" ref="I7:I26" si="2">D7*4</f>
        <v>3720</v>
      </c>
      <c r="J7">
        <v>0.57999999999999996</v>
      </c>
      <c r="K7">
        <v>0.61</v>
      </c>
      <c r="L7">
        <f t="shared" si="0"/>
        <v>2157.6</v>
      </c>
      <c r="M7" s="22">
        <v>0.05</v>
      </c>
      <c r="N7">
        <f t="shared" ref="N7:N26" si="3">L7*M7</f>
        <v>107.88</v>
      </c>
      <c r="O7">
        <f t="shared" ref="O7:O26" si="4">I7*K7</f>
        <v>2269.1999999999998</v>
      </c>
      <c r="P7">
        <f t="shared" ref="P7:P26" si="5">L7+N7</f>
        <v>2265.48</v>
      </c>
      <c r="S7">
        <f t="shared" ref="S7:S13" si="6">K7*0.05</f>
        <v>3.0499999999999999E-2</v>
      </c>
      <c r="T7">
        <f t="shared" ref="T7:T13" si="7">K7-S7</f>
        <v>0.57950000000000002</v>
      </c>
    </row>
    <row r="8" spans="1:20" x14ac:dyDescent="0.25">
      <c r="A8">
        <v>3</v>
      </c>
      <c r="B8" s="5" t="s">
        <v>105</v>
      </c>
      <c r="C8" s="11"/>
      <c r="D8" s="15">
        <v>2859</v>
      </c>
      <c r="E8" s="13"/>
      <c r="F8" s="5"/>
      <c r="G8" s="5"/>
      <c r="H8" s="5">
        <f t="shared" si="1"/>
        <v>2859</v>
      </c>
      <c r="I8" s="19">
        <f t="shared" si="2"/>
        <v>11436</v>
      </c>
      <c r="J8">
        <v>4.7</v>
      </c>
      <c r="K8">
        <v>4.93</v>
      </c>
      <c r="L8">
        <f t="shared" si="0"/>
        <v>53749.200000000004</v>
      </c>
      <c r="M8" s="22">
        <v>0.05</v>
      </c>
      <c r="N8">
        <f t="shared" si="3"/>
        <v>2687.4600000000005</v>
      </c>
      <c r="O8">
        <f t="shared" si="4"/>
        <v>56379.479999999996</v>
      </c>
      <c r="P8">
        <f>L8+N8</f>
        <v>56436.66</v>
      </c>
      <c r="S8">
        <f t="shared" si="6"/>
        <v>0.2465</v>
      </c>
      <c r="T8">
        <f t="shared" si="7"/>
        <v>4.6834999999999996</v>
      </c>
    </row>
    <row r="9" spans="1:20" x14ac:dyDescent="0.25">
      <c r="A9">
        <v>4</v>
      </c>
      <c r="B9" s="5" t="s">
        <v>106</v>
      </c>
      <c r="C9" s="11"/>
      <c r="D9" s="15">
        <v>4875</v>
      </c>
      <c r="E9" s="13"/>
      <c r="F9" s="5"/>
      <c r="G9" s="5"/>
      <c r="H9" s="5">
        <f t="shared" si="1"/>
        <v>4875</v>
      </c>
      <c r="I9" s="19">
        <f t="shared" si="2"/>
        <v>19500</v>
      </c>
      <c r="J9">
        <v>1.53</v>
      </c>
      <c r="K9">
        <v>1.61</v>
      </c>
      <c r="L9">
        <f>I9*J9</f>
        <v>29835</v>
      </c>
      <c r="M9" s="22">
        <v>0.05</v>
      </c>
      <c r="N9">
        <f t="shared" si="3"/>
        <v>1491.75</v>
      </c>
      <c r="O9">
        <f>I9*K9</f>
        <v>31395.000000000004</v>
      </c>
      <c r="P9">
        <f>L9+N9</f>
        <v>31326.75</v>
      </c>
      <c r="S9">
        <f t="shared" si="6"/>
        <v>8.0500000000000016E-2</v>
      </c>
      <c r="T9">
        <f t="shared" si="7"/>
        <v>1.5295000000000001</v>
      </c>
    </row>
    <row r="10" spans="1:20" x14ac:dyDescent="0.25">
      <c r="A10">
        <v>5</v>
      </c>
      <c r="B10" s="5" t="s">
        <v>107</v>
      </c>
      <c r="C10" s="11"/>
      <c r="D10" s="15">
        <v>150</v>
      </c>
      <c r="E10" s="13"/>
      <c r="F10" s="5"/>
      <c r="G10" s="5"/>
      <c r="H10" s="5">
        <f t="shared" si="1"/>
        <v>150</v>
      </c>
      <c r="I10" s="19">
        <f t="shared" si="2"/>
        <v>600</v>
      </c>
      <c r="J10">
        <v>0.95</v>
      </c>
      <c r="L10">
        <f t="shared" ref="L10:L26" si="8">I10*J10</f>
        <v>570</v>
      </c>
      <c r="M10" s="22">
        <v>0.05</v>
      </c>
      <c r="N10">
        <f t="shared" si="3"/>
        <v>28.5</v>
      </c>
      <c r="O10">
        <f t="shared" si="4"/>
        <v>0</v>
      </c>
      <c r="P10">
        <f t="shared" si="5"/>
        <v>598.5</v>
      </c>
      <c r="S10">
        <f t="shared" si="6"/>
        <v>0</v>
      </c>
      <c r="T10">
        <f t="shared" si="7"/>
        <v>0</v>
      </c>
    </row>
    <row r="11" spans="1:20" x14ac:dyDescent="0.25">
      <c r="A11">
        <v>6</v>
      </c>
      <c r="B11" s="5" t="s">
        <v>108</v>
      </c>
      <c r="C11" s="11" t="s">
        <v>109</v>
      </c>
      <c r="D11" s="15">
        <v>760</v>
      </c>
      <c r="E11" s="13"/>
      <c r="F11" s="5"/>
      <c r="G11" s="5"/>
      <c r="H11" s="5">
        <f t="shared" si="1"/>
        <v>760</v>
      </c>
      <c r="I11" s="19">
        <f t="shared" si="2"/>
        <v>3040</v>
      </c>
      <c r="J11">
        <v>2.77</v>
      </c>
      <c r="K11">
        <v>2.91</v>
      </c>
      <c r="L11">
        <f t="shared" si="8"/>
        <v>8420.7999999999993</v>
      </c>
      <c r="M11" s="22">
        <v>0.05</v>
      </c>
      <c r="N11">
        <f t="shared" si="3"/>
        <v>421.03999999999996</v>
      </c>
      <c r="O11">
        <f t="shared" si="4"/>
        <v>8846.4</v>
      </c>
      <c r="P11">
        <f t="shared" si="5"/>
        <v>8841.84</v>
      </c>
      <c r="S11">
        <f t="shared" si="6"/>
        <v>0.14550000000000002</v>
      </c>
      <c r="T11">
        <f t="shared" si="7"/>
        <v>2.7645</v>
      </c>
    </row>
    <row r="12" spans="1:20" x14ac:dyDescent="0.25">
      <c r="A12">
        <v>7</v>
      </c>
      <c r="B12" s="5" t="s">
        <v>110</v>
      </c>
      <c r="C12" s="11"/>
      <c r="D12" s="15"/>
      <c r="E12" s="13"/>
      <c r="F12" s="5"/>
      <c r="G12" s="5"/>
      <c r="H12" s="5">
        <f t="shared" si="1"/>
        <v>0</v>
      </c>
      <c r="I12" s="19">
        <f t="shared" si="2"/>
        <v>0</v>
      </c>
      <c r="L12">
        <f t="shared" si="8"/>
        <v>0</v>
      </c>
      <c r="M12" s="22">
        <v>0.05</v>
      </c>
      <c r="N12">
        <f t="shared" si="3"/>
        <v>0</v>
      </c>
      <c r="O12">
        <f t="shared" si="4"/>
        <v>0</v>
      </c>
      <c r="P12">
        <f t="shared" si="5"/>
        <v>0</v>
      </c>
      <c r="S12">
        <f t="shared" si="6"/>
        <v>0</v>
      </c>
      <c r="T12">
        <f t="shared" si="7"/>
        <v>0</v>
      </c>
    </row>
    <row r="13" spans="1:20" x14ac:dyDescent="0.25">
      <c r="A13">
        <v>8</v>
      </c>
      <c r="B13" s="5" t="s">
        <v>111</v>
      </c>
      <c r="C13" s="11"/>
      <c r="D13" s="15">
        <v>270</v>
      </c>
      <c r="E13" s="13"/>
      <c r="F13" s="5"/>
      <c r="G13" s="5"/>
      <c r="H13" s="5">
        <f t="shared" si="1"/>
        <v>270</v>
      </c>
      <c r="I13" s="19">
        <f t="shared" si="2"/>
        <v>1080</v>
      </c>
      <c r="J13">
        <v>1.38</v>
      </c>
      <c r="K13">
        <v>2.2400000000000002</v>
      </c>
      <c r="L13">
        <f t="shared" si="8"/>
        <v>1490.3999999999999</v>
      </c>
      <c r="M13" s="22">
        <v>0.05</v>
      </c>
      <c r="N13">
        <f t="shared" si="3"/>
        <v>74.52</v>
      </c>
      <c r="O13">
        <f>I13*K13</f>
        <v>2419.2000000000003</v>
      </c>
      <c r="P13">
        <f t="shared" si="5"/>
        <v>1564.9199999999998</v>
      </c>
      <c r="S13">
        <f t="shared" si="6"/>
        <v>0.11200000000000002</v>
      </c>
      <c r="T13">
        <f t="shared" si="7"/>
        <v>2.1280000000000001</v>
      </c>
    </row>
    <row r="14" spans="1:20" x14ac:dyDescent="0.25">
      <c r="A14">
        <v>9</v>
      </c>
      <c r="B14" s="5" t="s">
        <v>112</v>
      </c>
      <c r="C14" s="11" t="s">
        <v>113</v>
      </c>
      <c r="D14" s="15">
        <v>50</v>
      </c>
      <c r="E14" s="13"/>
      <c r="F14" s="5"/>
      <c r="G14" s="5"/>
      <c r="H14" s="5">
        <f t="shared" si="1"/>
        <v>50</v>
      </c>
      <c r="I14" s="19">
        <f t="shared" si="2"/>
        <v>200</v>
      </c>
      <c r="J14">
        <v>2.23</v>
      </c>
      <c r="K14">
        <v>2.35</v>
      </c>
      <c r="L14">
        <f t="shared" si="8"/>
        <v>446</v>
      </c>
      <c r="M14" s="22">
        <v>0.05</v>
      </c>
      <c r="N14">
        <f t="shared" si="3"/>
        <v>22.3</v>
      </c>
      <c r="O14">
        <f t="shared" si="4"/>
        <v>470</v>
      </c>
      <c r="P14">
        <f t="shared" si="5"/>
        <v>468.3</v>
      </c>
      <c r="S14">
        <f>K14*0.05</f>
        <v>0.11750000000000001</v>
      </c>
      <c r="T14">
        <f>K14-S14</f>
        <v>2.2324999999999999</v>
      </c>
    </row>
    <row r="15" spans="1:20" x14ac:dyDescent="0.25">
      <c r="A15">
        <v>10</v>
      </c>
      <c r="B15" s="5" t="s">
        <v>114</v>
      </c>
      <c r="C15" s="11"/>
      <c r="D15" s="15">
        <v>718</v>
      </c>
      <c r="E15" s="13"/>
      <c r="F15" s="5"/>
      <c r="G15" s="5"/>
      <c r="H15" s="5">
        <f t="shared" si="1"/>
        <v>718</v>
      </c>
      <c r="I15" s="19">
        <f t="shared" si="2"/>
        <v>2872</v>
      </c>
      <c r="K15">
        <v>1.03</v>
      </c>
      <c r="L15">
        <f t="shared" si="8"/>
        <v>0</v>
      </c>
      <c r="M15" s="22">
        <v>0.05</v>
      </c>
      <c r="N15">
        <f t="shared" si="3"/>
        <v>0</v>
      </c>
      <c r="O15">
        <f t="shared" si="4"/>
        <v>2958.16</v>
      </c>
      <c r="P15">
        <f t="shared" si="5"/>
        <v>0</v>
      </c>
      <c r="S15">
        <f t="shared" ref="S15:S26" si="9">K15*0.05</f>
        <v>5.1500000000000004E-2</v>
      </c>
      <c r="T15">
        <f t="shared" ref="T15:T26" si="10">K15-S15</f>
        <v>0.97850000000000004</v>
      </c>
    </row>
    <row r="16" spans="1:20" x14ac:dyDescent="0.25">
      <c r="A16">
        <v>11</v>
      </c>
      <c r="B16" s="5" t="s">
        <v>115</v>
      </c>
      <c r="C16" s="11"/>
      <c r="D16" s="15"/>
      <c r="E16" s="13"/>
      <c r="F16" s="5"/>
      <c r="G16" s="5"/>
      <c r="H16" s="5">
        <f t="shared" si="1"/>
        <v>0</v>
      </c>
      <c r="I16" s="19">
        <f t="shared" si="2"/>
        <v>0</v>
      </c>
      <c r="L16">
        <f t="shared" si="8"/>
        <v>0</v>
      </c>
      <c r="M16" s="22">
        <v>0.05</v>
      </c>
      <c r="N16">
        <f t="shared" si="3"/>
        <v>0</v>
      </c>
      <c r="O16">
        <f t="shared" si="4"/>
        <v>0</v>
      </c>
      <c r="P16">
        <f t="shared" si="5"/>
        <v>0</v>
      </c>
      <c r="S16">
        <f t="shared" si="9"/>
        <v>0</v>
      </c>
      <c r="T16">
        <f t="shared" si="10"/>
        <v>0</v>
      </c>
    </row>
    <row r="17" spans="1:20" x14ac:dyDescent="0.25">
      <c r="A17">
        <v>12</v>
      </c>
      <c r="B17" s="5" t="s">
        <v>132</v>
      </c>
      <c r="C17" s="11"/>
      <c r="D17" s="15">
        <v>786</v>
      </c>
      <c r="E17" s="13"/>
      <c r="F17" s="5"/>
      <c r="G17" s="5"/>
      <c r="H17" s="5">
        <f t="shared" si="1"/>
        <v>786</v>
      </c>
      <c r="I17" s="19">
        <f t="shared" si="2"/>
        <v>3144</v>
      </c>
      <c r="J17">
        <v>2.2599999999999998</v>
      </c>
      <c r="K17">
        <v>2.37</v>
      </c>
      <c r="L17">
        <f t="shared" si="8"/>
        <v>7105.44</v>
      </c>
      <c r="M17" s="22">
        <v>0.05</v>
      </c>
      <c r="N17">
        <f t="shared" si="3"/>
        <v>355.27199999999999</v>
      </c>
      <c r="O17">
        <f t="shared" si="4"/>
        <v>7451.2800000000007</v>
      </c>
      <c r="P17">
        <f t="shared" si="5"/>
        <v>7460.7119999999995</v>
      </c>
      <c r="S17">
        <f t="shared" si="9"/>
        <v>0.11850000000000001</v>
      </c>
      <c r="T17">
        <f t="shared" si="10"/>
        <v>2.2515000000000001</v>
      </c>
    </row>
    <row r="18" spans="1:20" x14ac:dyDescent="0.25">
      <c r="A18">
        <v>13</v>
      </c>
      <c r="B18" s="5" t="s">
        <v>116</v>
      </c>
      <c r="C18" s="11"/>
      <c r="D18" s="15">
        <v>240</v>
      </c>
      <c r="E18" s="13"/>
      <c r="F18" s="5"/>
      <c r="G18" s="5"/>
      <c r="H18" s="5">
        <f t="shared" si="1"/>
        <v>240</v>
      </c>
      <c r="I18" s="19">
        <f t="shared" si="2"/>
        <v>960</v>
      </c>
      <c r="J18">
        <v>1.93</v>
      </c>
      <c r="K18">
        <v>2.08</v>
      </c>
      <c r="L18">
        <f t="shared" si="8"/>
        <v>1852.8</v>
      </c>
      <c r="M18" s="22">
        <v>0.05</v>
      </c>
      <c r="N18">
        <f t="shared" si="3"/>
        <v>92.64</v>
      </c>
      <c r="O18">
        <f t="shared" si="4"/>
        <v>1996.8000000000002</v>
      </c>
      <c r="P18">
        <f t="shared" si="5"/>
        <v>1945.44</v>
      </c>
      <c r="S18">
        <f t="shared" si="9"/>
        <v>0.10400000000000001</v>
      </c>
      <c r="T18">
        <f t="shared" si="10"/>
        <v>1.976</v>
      </c>
    </row>
    <row r="19" spans="1:20" x14ac:dyDescent="0.25">
      <c r="A19">
        <v>14</v>
      </c>
      <c r="B19" s="5" t="s">
        <v>117</v>
      </c>
      <c r="C19" s="11"/>
      <c r="D19" s="15">
        <v>310</v>
      </c>
      <c r="E19" s="13"/>
      <c r="F19" s="5"/>
      <c r="G19" s="5"/>
      <c r="H19" s="5">
        <f t="shared" si="1"/>
        <v>310</v>
      </c>
      <c r="I19" s="19">
        <f t="shared" si="2"/>
        <v>1240</v>
      </c>
      <c r="J19">
        <v>1.79</v>
      </c>
      <c r="K19">
        <v>1.88</v>
      </c>
      <c r="L19">
        <f t="shared" si="8"/>
        <v>2219.6</v>
      </c>
      <c r="M19" s="22">
        <v>0.05</v>
      </c>
      <c r="N19">
        <f t="shared" si="3"/>
        <v>110.98</v>
      </c>
      <c r="O19">
        <f t="shared" si="4"/>
        <v>2331.1999999999998</v>
      </c>
      <c r="P19">
        <f t="shared" si="5"/>
        <v>2330.58</v>
      </c>
      <c r="S19">
        <f>K19*0.05</f>
        <v>9.4E-2</v>
      </c>
      <c r="T19">
        <f>K19-S19</f>
        <v>1.7859999999999998</v>
      </c>
    </row>
    <row r="20" spans="1:20" x14ac:dyDescent="0.25">
      <c r="A20">
        <v>15</v>
      </c>
      <c r="B20" s="5" t="s">
        <v>118</v>
      </c>
      <c r="C20" s="11"/>
      <c r="D20" s="15">
        <v>970</v>
      </c>
      <c r="E20" s="13"/>
      <c r="F20" s="5"/>
      <c r="G20" s="5"/>
      <c r="H20" s="5">
        <f t="shared" si="1"/>
        <v>970</v>
      </c>
      <c r="I20" s="19">
        <f t="shared" si="2"/>
        <v>3880</v>
      </c>
      <c r="J20">
        <v>1.91</v>
      </c>
      <c r="K20">
        <v>2.0099999999999998</v>
      </c>
      <c r="L20">
        <f t="shared" si="8"/>
        <v>7410.7999999999993</v>
      </c>
      <c r="M20" s="22">
        <v>0.05</v>
      </c>
      <c r="N20">
        <f t="shared" si="3"/>
        <v>370.53999999999996</v>
      </c>
      <c r="O20">
        <f t="shared" si="4"/>
        <v>7798.7999999999993</v>
      </c>
      <c r="P20">
        <f t="shared" si="5"/>
        <v>7781.3399999999992</v>
      </c>
      <c r="S20">
        <f t="shared" si="9"/>
        <v>0.10049999999999999</v>
      </c>
      <c r="T20">
        <f t="shared" si="10"/>
        <v>1.9094999999999998</v>
      </c>
    </row>
    <row r="21" spans="1:20" x14ac:dyDescent="0.25">
      <c r="A21">
        <v>16</v>
      </c>
      <c r="B21" s="5" t="s">
        <v>119</v>
      </c>
      <c r="C21" s="11"/>
      <c r="D21" s="15">
        <v>3120</v>
      </c>
      <c r="E21" s="13"/>
      <c r="F21" s="5"/>
      <c r="G21" s="5"/>
      <c r="H21" s="5">
        <f t="shared" si="1"/>
        <v>3120</v>
      </c>
      <c r="I21" s="19">
        <f t="shared" si="2"/>
        <v>12480</v>
      </c>
      <c r="J21">
        <v>0.48</v>
      </c>
      <c r="K21">
        <v>0.5</v>
      </c>
      <c r="L21">
        <f t="shared" si="8"/>
        <v>5990.4</v>
      </c>
      <c r="M21" s="22">
        <v>0.05</v>
      </c>
      <c r="N21">
        <f t="shared" si="3"/>
        <v>299.52</v>
      </c>
      <c r="O21">
        <f t="shared" si="4"/>
        <v>6240</v>
      </c>
      <c r="P21">
        <f t="shared" si="5"/>
        <v>6289.92</v>
      </c>
      <c r="S21">
        <f t="shared" si="9"/>
        <v>2.5000000000000001E-2</v>
      </c>
      <c r="T21">
        <f t="shared" si="10"/>
        <v>0.47499999999999998</v>
      </c>
    </row>
    <row r="22" spans="1:20" x14ac:dyDescent="0.25">
      <c r="A22">
        <v>17</v>
      </c>
      <c r="B22" s="5" t="s">
        <v>120</v>
      </c>
      <c r="C22" s="11"/>
      <c r="D22" s="15">
        <v>282</v>
      </c>
      <c r="E22" s="13"/>
      <c r="F22" s="5"/>
      <c r="G22" s="5"/>
      <c r="H22" s="5">
        <f t="shared" si="1"/>
        <v>282</v>
      </c>
      <c r="I22" s="19">
        <f t="shared" si="2"/>
        <v>1128</v>
      </c>
      <c r="J22">
        <v>7.7</v>
      </c>
      <c r="K22">
        <v>8.09</v>
      </c>
      <c r="L22">
        <f t="shared" si="8"/>
        <v>8685.6</v>
      </c>
      <c r="M22" s="22">
        <v>0.05</v>
      </c>
      <c r="N22">
        <f t="shared" si="3"/>
        <v>434.28000000000003</v>
      </c>
      <c r="O22">
        <f t="shared" si="4"/>
        <v>9125.52</v>
      </c>
      <c r="P22">
        <f t="shared" si="5"/>
        <v>9119.880000000001</v>
      </c>
      <c r="S22">
        <f t="shared" si="9"/>
        <v>0.40450000000000003</v>
      </c>
      <c r="T22">
        <f t="shared" si="10"/>
        <v>7.6855000000000002</v>
      </c>
    </row>
    <row r="23" spans="1:20" ht="30" x14ac:dyDescent="0.25">
      <c r="A23">
        <v>18</v>
      </c>
      <c r="B23" s="7" t="s">
        <v>121</v>
      </c>
      <c r="C23" s="11"/>
      <c r="D23" s="15">
        <v>165</v>
      </c>
      <c r="E23" s="13"/>
      <c r="F23" s="5"/>
      <c r="G23" s="5"/>
      <c r="H23" s="5">
        <f t="shared" si="1"/>
        <v>165</v>
      </c>
      <c r="I23" s="19">
        <f t="shared" si="2"/>
        <v>660</v>
      </c>
      <c r="J23">
        <v>13.52</v>
      </c>
      <c r="K23">
        <v>14.12</v>
      </c>
      <c r="L23">
        <f t="shared" si="8"/>
        <v>8923.1999999999989</v>
      </c>
      <c r="M23" s="22">
        <v>0.05</v>
      </c>
      <c r="N23">
        <f t="shared" si="3"/>
        <v>446.15999999999997</v>
      </c>
      <c r="O23">
        <f t="shared" si="4"/>
        <v>9319.1999999999989</v>
      </c>
      <c r="P23">
        <f t="shared" si="5"/>
        <v>9369.3599999999988</v>
      </c>
      <c r="S23">
        <f t="shared" si="9"/>
        <v>0.70599999999999996</v>
      </c>
      <c r="T23">
        <f t="shared" si="10"/>
        <v>13.414</v>
      </c>
    </row>
    <row r="24" spans="1:20" x14ac:dyDescent="0.25">
      <c r="A24">
        <v>19</v>
      </c>
      <c r="B24" s="8" t="s">
        <v>122</v>
      </c>
      <c r="D24" s="16">
        <v>40</v>
      </c>
      <c r="H24" s="5">
        <f t="shared" si="1"/>
        <v>40</v>
      </c>
      <c r="I24" s="19">
        <f t="shared" si="2"/>
        <v>160</v>
      </c>
      <c r="J24">
        <v>2.39</v>
      </c>
      <c r="L24">
        <f t="shared" si="8"/>
        <v>382.40000000000003</v>
      </c>
      <c r="M24" s="22">
        <v>0.05</v>
      </c>
      <c r="N24">
        <f>L24*M24</f>
        <v>19.12</v>
      </c>
      <c r="O24">
        <f t="shared" si="4"/>
        <v>0</v>
      </c>
      <c r="P24">
        <f t="shared" si="5"/>
        <v>401.52000000000004</v>
      </c>
      <c r="S24">
        <f t="shared" si="9"/>
        <v>0</v>
      </c>
      <c r="T24">
        <f t="shared" si="10"/>
        <v>0</v>
      </c>
    </row>
    <row r="25" spans="1:20" x14ac:dyDescent="0.25">
      <c r="A25">
        <v>20</v>
      </c>
      <c r="B25" s="8" t="s">
        <v>123</v>
      </c>
      <c r="D25" s="16">
        <v>0</v>
      </c>
      <c r="H25" s="5">
        <f t="shared" si="1"/>
        <v>0</v>
      </c>
      <c r="I25" s="19">
        <f t="shared" si="2"/>
        <v>0</v>
      </c>
      <c r="K25">
        <v>1.61</v>
      </c>
      <c r="L25">
        <f t="shared" si="8"/>
        <v>0</v>
      </c>
      <c r="M25" s="22">
        <v>0.05</v>
      </c>
      <c r="N25">
        <f t="shared" si="3"/>
        <v>0</v>
      </c>
      <c r="O25">
        <f t="shared" si="4"/>
        <v>0</v>
      </c>
      <c r="P25">
        <f t="shared" si="5"/>
        <v>0</v>
      </c>
      <c r="S25">
        <f t="shared" si="9"/>
        <v>8.0500000000000016E-2</v>
      </c>
      <c r="T25">
        <f t="shared" si="10"/>
        <v>1.5295000000000001</v>
      </c>
    </row>
    <row r="26" spans="1:20" ht="15.75" thickBot="1" x14ac:dyDescent="0.3">
      <c r="B26" s="10" t="s">
        <v>125</v>
      </c>
      <c r="D26" s="17">
        <v>95</v>
      </c>
      <c r="I26" s="19">
        <f t="shared" si="2"/>
        <v>380</v>
      </c>
      <c r="J26">
        <v>13.56</v>
      </c>
      <c r="K26">
        <v>14.24</v>
      </c>
      <c r="L26">
        <f t="shared" si="8"/>
        <v>5152.8</v>
      </c>
      <c r="M26" s="22">
        <v>0.05</v>
      </c>
      <c r="N26">
        <f t="shared" si="3"/>
        <v>257.64000000000004</v>
      </c>
      <c r="O26">
        <f t="shared" si="4"/>
        <v>5411.2</v>
      </c>
      <c r="P26">
        <f t="shared" si="5"/>
        <v>5410.4400000000005</v>
      </c>
      <c r="S26">
        <f t="shared" si="9"/>
        <v>0.71200000000000008</v>
      </c>
      <c r="T26">
        <f t="shared" si="10"/>
        <v>13.528</v>
      </c>
    </row>
    <row r="29" spans="1:20" x14ac:dyDescent="0.25">
      <c r="O29">
        <f>SUM(O6:O28)</f>
        <v>156691.44</v>
      </c>
      <c r="P29">
        <f>SUM(P6:P28)</f>
        <v>153909.88199999998</v>
      </c>
    </row>
  </sheetData>
  <mergeCells count="3">
    <mergeCell ref="B3:B4"/>
    <mergeCell ref="C3:C4"/>
    <mergeCell ref="D3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K32"/>
  <sheetViews>
    <sheetView tabSelected="1" view="pageLayout" topLeftCell="B1" zoomScaleNormal="100" workbookViewId="0">
      <selection activeCell="N4" sqref="N4"/>
    </sheetView>
  </sheetViews>
  <sheetFormatPr defaultRowHeight="15" x14ac:dyDescent="0.25"/>
  <cols>
    <col min="2" max="2" width="7" style="43" customWidth="1"/>
    <col min="3" max="3" width="18.42578125" customWidth="1"/>
    <col min="4" max="4" width="38" style="43" customWidth="1"/>
    <col min="5" max="5" width="5.7109375" style="43" customWidth="1"/>
    <col min="6" max="6" width="7.7109375" style="43" bestFit="1" customWidth="1"/>
    <col min="7" max="7" width="14" bestFit="1" customWidth="1"/>
    <col min="8" max="8" width="11.42578125" bestFit="1" customWidth="1"/>
    <col min="9" max="9" width="8.140625" style="22" customWidth="1"/>
    <col min="10" max="10" width="11.42578125" bestFit="1" customWidth="1"/>
    <col min="11" max="11" width="64.7109375" customWidth="1"/>
  </cols>
  <sheetData>
    <row r="1" spans="2:11" x14ac:dyDescent="0.25">
      <c r="C1" t="s">
        <v>205</v>
      </c>
      <c r="J1" t="s">
        <v>206</v>
      </c>
    </row>
    <row r="2" spans="2:11" ht="15.75" x14ac:dyDescent="0.25">
      <c r="F2" s="48" t="s">
        <v>210</v>
      </c>
    </row>
    <row r="3" spans="2:11" s="46" customFormat="1" ht="45.75" x14ac:dyDescent="0.25">
      <c r="B3" s="34" t="s">
        <v>150</v>
      </c>
      <c r="C3" s="45" t="s">
        <v>207</v>
      </c>
      <c r="D3" s="34" t="s">
        <v>148</v>
      </c>
      <c r="E3" s="34" t="s">
        <v>149</v>
      </c>
      <c r="F3" s="34" t="s">
        <v>151</v>
      </c>
      <c r="G3" s="45" t="s">
        <v>202</v>
      </c>
      <c r="H3" s="45" t="s">
        <v>152</v>
      </c>
      <c r="I3" s="47" t="s">
        <v>203</v>
      </c>
      <c r="J3" s="45" t="s">
        <v>154</v>
      </c>
      <c r="K3" s="34" t="s">
        <v>204</v>
      </c>
    </row>
    <row r="4" spans="2:11" ht="90.75" x14ac:dyDescent="0.25">
      <c r="B4" s="44">
        <v>1</v>
      </c>
      <c r="C4" s="5"/>
      <c r="D4" s="49" t="s">
        <v>159</v>
      </c>
      <c r="E4" s="34" t="s">
        <v>157</v>
      </c>
      <c r="F4" s="44">
        <v>12600</v>
      </c>
      <c r="G4" s="5"/>
      <c r="H4" s="5"/>
      <c r="I4" s="42"/>
      <c r="J4" s="5"/>
      <c r="K4" s="33" t="s">
        <v>180</v>
      </c>
    </row>
    <row r="5" spans="2:11" ht="45.75" x14ac:dyDescent="0.25">
      <c r="B5" s="44">
        <v>2</v>
      </c>
      <c r="C5" s="5"/>
      <c r="D5" s="49" t="s">
        <v>160</v>
      </c>
      <c r="E5" s="34" t="s">
        <v>157</v>
      </c>
      <c r="F5" s="44">
        <v>4500</v>
      </c>
      <c r="G5" s="5"/>
      <c r="H5" s="5"/>
      <c r="I5" s="42"/>
      <c r="J5" s="5"/>
      <c r="K5" s="33" t="s">
        <v>181</v>
      </c>
    </row>
    <row r="6" spans="2:11" ht="45.75" x14ac:dyDescent="0.25">
      <c r="B6" s="44">
        <v>3</v>
      </c>
      <c r="C6" s="5"/>
      <c r="D6" s="49" t="s">
        <v>161</v>
      </c>
      <c r="E6" s="34" t="s">
        <v>157</v>
      </c>
      <c r="F6" s="44">
        <v>4000</v>
      </c>
      <c r="G6" s="5"/>
      <c r="H6" s="5"/>
      <c r="I6" s="42"/>
      <c r="J6" s="5"/>
      <c r="K6" s="33" t="s">
        <v>181</v>
      </c>
    </row>
    <row r="7" spans="2:11" ht="60.75" x14ac:dyDescent="0.25">
      <c r="B7" s="44">
        <v>4</v>
      </c>
      <c r="C7" s="5"/>
      <c r="D7" s="49" t="s">
        <v>162</v>
      </c>
      <c r="E7" s="34" t="s">
        <v>158</v>
      </c>
      <c r="F7" s="44">
        <v>11000</v>
      </c>
      <c r="G7" s="5"/>
      <c r="H7" s="5"/>
      <c r="I7" s="42"/>
      <c r="J7" s="5"/>
      <c r="K7" s="33" t="s">
        <v>182</v>
      </c>
    </row>
    <row r="8" spans="2:11" ht="45.75" x14ac:dyDescent="0.25">
      <c r="B8" s="44">
        <v>5</v>
      </c>
      <c r="C8" s="5"/>
      <c r="D8" s="49" t="s">
        <v>163</v>
      </c>
      <c r="E8" s="34" t="s">
        <v>6</v>
      </c>
      <c r="F8" s="44">
        <v>400</v>
      </c>
      <c r="G8" s="5"/>
      <c r="H8" s="5"/>
      <c r="I8" s="42"/>
      <c r="J8" s="5"/>
      <c r="K8" s="33" t="s">
        <v>183</v>
      </c>
    </row>
    <row r="9" spans="2:11" ht="45.75" x14ac:dyDescent="0.25">
      <c r="B9" s="44">
        <v>6</v>
      </c>
      <c r="C9" s="5"/>
      <c r="D9" s="49" t="s">
        <v>198</v>
      </c>
      <c r="E9" s="34" t="s">
        <v>157</v>
      </c>
      <c r="F9" s="44">
        <v>800</v>
      </c>
      <c r="G9" s="5"/>
      <c r="H9" s="5"/>
      <c r="I9" s="42"/>
      <c r="J9" s="5"/>
      <c r="K9" s="33" t="s">
        <v>181</v>
      </c>
    </row>
    <row r="10" spans="2:11" ht="45.75" x14ac:dyDescent="0.25">
      <c r="B10" s="44">
        <v>7</v>
      </c>
      <c r="C10" s="5"/>
      <c r="D10" s="49" t="s">
        <v>165</v>
      </c>
      <c r="E10" s="34" t="s">
        <v>157</v>
      </c>
      <c r="F10" s="44">
        <v>700</v>
      </c>
      <c r="G10" s="5"/>
      <c r="H10" s="5"/>
      <c r="I10" s="42"/>
      <c r="J10" s="5"/>
      <c r="K10" s="33" t="s">
        <v>181</v>
      </c>
    </row>
    <row r="11" spans="2:11" ht="45.75" x14ac:dyDescent="0.25">
      <c r="B11" s="44">
        <v>8</v>
      </c>
      <c r="C11" s="5"/>
      <c r="D11" s="49" t="s">
        <v>166</v>
      </c>
      <c r="E11" s="34" t="s">
        <v>157</v>
      </c>
      <c r="F11" s="44">
        <v>1000</v>
      </c>
      <c r="G11" s="5"/>
      <c r="H11" s="5"/>
      <c r="I11" s="42"/>
      <c r="J11" s="5"/>
      <c r="K11" s="33" t="s">
        <v>184</v>
      </c>
    </row>
    <row r="12" spans="2:11" ht="45.75" x14ac:dyDescent="0.25">
      <c r="B12" s="44">
        <v>9</v>
      </c>
      <c r="C12" s="5"/>
      <c r="D12" s="49" t="s">
        <v>167</v>
      </c>
      <c r="E12" s="34" t="s">
        <v>157</v>
      </c>
      <c r="F12" s="44">
        <v>1100</v>
      </c>
      <c r="G12" s="10"/>
      <c r="H12" s="5"/>
      <c r="I12" s="42"/>
      <c r="J12" s="5"/>
      <c r="K12" s="33" t="s">
        <v>185</v>
      </c>
    </row>
    <row r="13" spans="2:11" ht="75" x14ac:dyDescent="0.25">
      <c r="B13" s="44">
        <v>10</v>
      </c>
      <c r="C13" s="5"/>
      <c r="D13" s="49" t="s">
        <v>168</v>
      </c>
      <c r="E13" s="34" t="s">
        <v>157</v>
      </c>
      <c r="F13" s="44">
        <v>300</v>
      </c>
      <c r="G13" s="5"/>
      <c r="H13" s="5"/>
      <c r="I13" s="42"/>
      <c r="J13" s="5"/>
      <c r="K13" s="33" t="s">
        <v>186</v>
      </c>
    </row>
    <row r="14" spans="2:11" ht="45.75" x14ac:dyDescent="0.25">
      <c r="B14" s="44">
        <v>11</v>
      </c>
      <c r="C14" s="5"/>
      <c r="D14" s="49" t="s">
        <v>169</v>
      </c>
      <c r="E14" s="34" t="s">
        <v>157</v>
      </c>
      <c r="F14" s="44">
        <v>700</v>
      </c>
      <c r="G14" s="5"/>
      <c r="H14" s="5"/>
      <c r="I14" s="42"/>
      <c r="J14" s="5"/>
      <c r="K14" s="33" t="s">
        <v>187</v>
      </c>
    </row>
    <row r="15" spans="2:11" ht="45.75" x14ac:dyDescent="0.25">
      <c r="B15" s="44">
        <v>12</v>
      </c>
      <c r="C15" s="5"/>
      <c r="D15" s="49" t="s">
        <v>170</v>
      </c>
      <c r="E15" s="34" t="s">
        <v>157</v>
      </c>
      <c r="F15" s="44">
        <v>3000</v>
      </c>
      <c r="G15" s="5"/>
      <c r="H15" s="5"/>
      <c r="I15" s="42"/>
      <c r="J15" s="5"/>
      <c r="K15" s="33" t="s">
        <v>184</v>
      </c>
    </row>
    <row r="16" spans="2:11" ht="45.75" x14ac:dyDescent="0.25">
      <c r="B16" s="44">
        <v>13</v>
      </c>
      <c r="C16" s="5"/>
      <c r="D16" s="49" t="s">
        <v>171</v>
      </c>
      <c r="E16" s="34" t="s">
        <v>157</v>
      </c>
      <c r="F16" s="44">
        <v>2800</v>
      </c>
      <c r="G16" s="5"/>
      <c r="H16" s="5"/>
      <c r="I16" s="42"/>
      <c r="J16" s="5"/>
      <c r="K16" s="33" t="s">
        <v>188</v>
      </c>
    </row>
    <row r="17" spans="2:11" ht="45.75" x14ac:dyDescent="0.25">
      <c r="B17" s="44">
        <v>14</v>
      </c>
      <c r="C17" s="5"/>
      <c r="D17" s="49" t="s">
        <v>172</v>
      </c>
      <c r="E17" s="34" t="s">
        <v>157</v>
      </c>
      <c r="F17" s="44">
        <v>1000</v>
      </c>
      <c r="G17" s="5"/>
      <c r="H17" s="5"/>
      <c r="I17" s="42"/>
      <c r="J17" s="5"/>
      <c r="K17" s="33" t="s">
        <v>184</v>
      </c>
    </row>
    <row r="18" spans="2:11" ht="45.75" x14ac:dyDescent="0.25">
      <c r="B18" s="44">
        <v>15</v>
      </c>
      <c r="C18" s="5"/>
      <c r="D18" s="49" t="s">
        <v>173</v>
      </c>
      <c r="E18" s="34" t="s">
        <v>157</v>
      </c>
      <c r="F18" s="44">
        <v>24000</v>
      </c>
      <c r="G18" s="5"/>
      <c r="H18" s="5"/>
      <c r="I18" s="42"/>
      <c r="J18" s="5"/>
      <c r="K18" s="33" t="s">
        <v>189</v>
      </c>
    </row>
    <row r="19" spans="2:11" ht="45.75" x14ac:dyDescent="0.25">
      <c r="B19" s="44">
        <v>16</v>
      </c>
      <c r="C19" s="5"/>
      <c r="D19" s="49" t="s">
        <v>199</v>
      </c>
      <c r="E19" s="34" t="s">
        <v>157</v>
      </c>
      <c r="F19" s="44">
        <v>1500</v>
      </c>
      <c r="G19" s="5"/>
      <c r="H19" s="5"/>
      <c r="I19" s="42"/>
      <c r="J19" s="5"/>
      <c r="K19" s="33" t="s">
        <v>190</v>
      </c>
    </row>
    <row r="20" spans="2:11" ht="45.75" x14ac:dyDescent="0.25">
      <c r="B20" s="44">
        <v>17</v>
      </c>
      <c r="C20" s="5"/>
      <c r="D20" s="49" t="s">
        <v>175</v>
      </c>
      <c r="E20" s="34" t="s">
        <v>158</v>
      </c>
      <c r="F20" s="44">
        <v>1800</v>
      </c>
      <c r="G20" s="5"/>
      <c r="H20" s="5"/>
      <c r="I20" s="42"/>
      <c r="J20" s="5"/>
      <c r="K20" s="33" t="s">
        <v>191</v>
      </c>
    </row>
    <row r="21" spans="2:11" ht="45.75" x14ac:dyDescent="0.25">
      <c r="B21" s="44">
        <v>18</v>
      </c>
      <c r="C21" s="5"/>
      <c r="D21" s="49" t="s">
        <v>176</v>
      </c>
      <c r="E21" s="34" t="s">
        <v>6</v>
      </c>
      <c r="F21" s="44">
        <v>1000</v>
      </c>
      <c r="G21" s="5"/>
      <c r="H21" s="5"/>
      <c r="I21" s="42"/>
      <c r="J21" s="5"/>
      <c r="K21" s="33" t="s">
        <v>192</v>
      </c>
    </row>
    <row r="22" spans="2:11" ht="60" x14ac:dyDescent="0.25">
      <c r="B22" s="44">
        <v>19</v>
      </c>
      <c r="C22" s="5"/>
      <c r="D22" s="49" t="s">
        <v>178</v>
      </c>
      <c r="E22" s="34" t="s">
        <v>158</v>
      </c>
      <c r="F22" s="44">
        <v>30</v>
      </c>
      <c r="G22" s="5"/>
      <c r="H22" s="5"/>
      <c r="I22" s="42"/>
      <c r="J22" s="5"/>
      <c r="K22" s="35" t="s">
        <v>193</v>
      </c>
    </row>
    <row r="23" spans="2:11" ht="45" x14ac:dyDescent="0.25">
      <c r="B23" s="44">
        <v>20</v>
      </c>
      <c r="C23" s="5"/>
      <c r="D23" s="49" t="s">
        <v>179</v>
      </c>
      <c r="E23" s="34" t="s">
        <v>158</v>
      </c>
      <c r="F23" s="44">
        <v>60</v>
      </c>
      <c r="G23" s="5"/>
      <c r="H23" s="5"/>
      <c r="I23" s="42"/>
      <c r="J23" s="5"/>
      <c r="K23" s="35" t="s">
        <v>194</v>
      </c>
    </row>
    <row r="24" spans="2:11" x14ac:dyDescent="0.25">
      <c r="B24" s="44"/>
      <c r="C24" s="5"/>
      <c r="D24" s="44" t="s">
        <v>200</v>
      </c>
      <c r="E24" s="44" t="s">
        <v>201</v>
      </c>
      <c r="F24" s="44" t="s">
        <v>201</v>
      </c>
      <c r="G24" s="5"/>
      <c r="H24" s="5"/>
      <c r="I24" s="42"/>
      <c r="J24" s="5"/>
      <c r="K24" s="5"/>
    </row>
    <row r="27" spans="2:11" x14ac:dyDescent="0.25">
      <c r="C27" t="s">
        <v>208</v>
      </c>
    </row>
    <row r="28" spans="2:11" x14ac:dyDescent="0.25">
      <c r="C28" t="s">
        <v>209</v>
      </c>
    </row>
    <row r="32" spans="2:11" x14ac:dyDescent="0.25">
      <c r="J32" s="41"/>
    </row>
  </sheetData>
  <pageMargins left="0.7" right="0.7" top="0.75" bottom="0.75" header="0.3" footer="0.3"/>
  <pageSetup paperSize="9" scale="43" orientation="landscape" r:id="rId1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 warzywa całoroczne</vt:lpstr>
      <vt:lpstr>Nabiał Serkol</vt:lpstr>
      <vt:lpstr>formularz do przetargu 2019-202</vt:lpstr>
      <vt:lpstr>symulacja potrzeb nabiału</vt:lpstr>
      <vt:lpstr>do przetargu na 2021r</vt:lpstr>
      <vt:lpstr>'do przetargu na 2021r'!Obszar_wydruku</vt:lpstr>
      <vt:lpstr>'formularz do przetargu 2019-202'!Obszar_wydruku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Benedykt  Łangowski</dc:creator>
  <cp:lastModifiedBy>Iwona  Ściślewska</cp:lastModifiedBy>
  <cp:lastPrinted>2021-04-07T07:43:50Z</cp:lastPrinted>
  <dcterms:created xsi:type="dcterms:W3CDTF">2019-04-01T10:17:10Z</dcterms:created>
  <dcterms:modified xsi:type="dcterms:W3CDTF">2021-04-07T07:43:54Z</dcterms:modified>
</cp:coreProperties>
</file>